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480" yWindow="90" windowWidth="15480" windowHeight="10830" activeTab="3"/>
  </bookViews>
  <sheets>
    <sheet name="B747_400" sheetId="14" r:id="rId1"/>
    <sheet name="B747_400F" sheetId="35" r:id="rId2"/>
    <sheet name="MD 11" sheetId="30" r:id="rId3"/>
    <sheet name="MD 11F" sheetId="37" r:id="rId4"/>
  </sheets>
  <definedNames>
    <definedName name="avions">#REF!</definedName>
    <definedName name="Bagage">B747_400!$G$19</definedName>
    <definedName name="Cargo">B747_400!$G$20</definedName>
    <definedName name="Cruis">B747_400!$C$12</definedName>
    <definedName name="Eshelon">B747_400!$C$17</definedName>
    <definedName name="Nabor">B747_400!$C$11</definedName>
    <definedName name="Pax">B747_400!$G$18</definedName>
    <definedName name="Rast">B747_400!$C$19</definedName>
    <definedName name="SkrWind">B747_400!$C$21</definedName>
    <definedName name="Snigen">B747_400!$C$13</definedName>
  </definedNames>
  <calcPr calcId="124519"/>
</workbook>
</file>

<file path=xl/calcChain.xml><?xml version="1.0" encoding="utf-8"?>
<calcChain xmlns="http://schemas.openxmlformats.org/spreadsheetml/2006/main">
  <c r="D21" i="14"/>
  <c r="D19"/>
  <c r="D17"/>
  <c r="D21" i="35"/>
  <c r="D19"/>
  <c r="D17"/>
  <c r="D21" i="30"/>
  <c r="D19"/>
  <c r="D17"/>
  <c r="D21" i="37"/>
  <c r="D19"/>
  <c r="D17"/>
  <c r="K12" i="14"/>
  <c r="K11"/>
  <c r="L11" s="1"/>
  <c r="K12" i="30"/>
  <c r="K11"/>
  <c r="K13" i="37"/>
  <c r="K14" s="1"/>
  <c r="L14" s="1"/>
  <c r="L2"/>
  <c r="L3"/>
  <c r="L4"/>
  <c r="L5"/>
  <c r="D11"/>
  <c r="F11"/>
  <c r="E29" s="1"/>
  <c r="E30" s="1"/>
  <c r="G11"/>
  <c r="H11"/>
  <c r="L11"/>
  <c r="D12"/>
  <c r="H15" s="1"/>
  <c r="I15" s="1"/>
  <c r="D13"/>
  <c r="F13" s="1"/>
  <c r="G13"/>
  <c r="G12" s="1"/>
  <c r="H12" s="1"/>
  <c r="L18"/>
  <c r="L19"/>
  <c r="L20"/>
  <c r="K13" i="30"/>
  <c r="K21" s="1"/>
  <c r="G11"/>
  <c r="G13"/>
  <c r="G12"/>
  <c r="D12"/>
  <c r="H12"/>
  <c r="D11"/>
  <c r="H11"/>
  <c r="H62" s="1"/>
  <c r="D13"/>
  <c r="H13"/>
  <c r="F11"/>
  <c r="E29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I12"/>
  <c r="F13"/>
  <c r="G29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H15"/>
  <c r="I15" s="1"/>
  <c r="L20"/>
  <c r="L19"/>
  <c r="L18"/>
  <c r="K14"/>
  <c r="L14" s="1"/>
  <c r="L13"/>
  <c r="L12"/>
  <c r="L11"/>
  <c r="L5"/>
  <c r="L4"/>
  <c r="L3"/>
  <c r="L2"/>
  <c r="D13" i="35"/>
  <c r="D11"/>
  <c r="H11" s="1"/>
  <c r="G11" i="14"/>
  <c r="D11"/>
  <c r="G13"/>
  <c r="G12" s="1"/>
  <c r="D12"/>
  <c r="D13"/>
  <c r="H13" s="1"/>
  <c r="G13" i="35"/>
  <c r="H13" s="1"/>
  <c r="G11"/>
  <c r="G12"/>
  <c r="K13"/>
  <c r="K21" s="1"/>
  <c r="L2"/>
  <c r="L3"/>
  <c r="L4"/>
  <c r="L5"/>
  <c r="F11"/>
  <c r="E29" s="1"/>
  <c r="E30" s="1"/>
  <c r="L11"/>
  <c r="D12"/>
  <c r="H12" s="1"/>
  <c r="I12" s="1"/>
  <c r="F13"/>
  <c r="G29" s="1"/>
  <c r="G30" s="1"/>
  <c r="K14"/>
  <c r="L14" s="1"/>
  <c r="H15"/>
  <c r="I15" s="1"/>
  <c r="L18"/>
  <c r="L19"/>
  <c r="L20"/>
  <c r="K13" i="14"/>
  <c r="K14" s="1"/>
  <c r="L14" s="1"/>
  <c r="L12"/>
  <c r="L18"/>
  <c r="L19"/>
  <c r="L20"/>
  <c r="L2"/>
  <c r="L3"/>
  <c r="L4"/>
  <c r="L5"/>
  <c r="K21" l="1"/>
  <c r="L21" s="1"/>
  <c r="H11"/>
  <c r="H12"/>
  <c r="I12" s="1"/>
  <c r="H60" i="35"/>
  <c r="I60" s="1"/>
  <c r="J60" s="1"/>
  <c r="I13" i="30"/>
  <c r="G52"/>
  <c r="G53" s="1"/>
  <c r="G54" s="1"/>
  <c r="L21"/>
  <c r="I12" i="37"/>
  <c r="L21" i="35"/>
  <c r="I11" i="30"/>
  <c r="K23" s="1"/>
  <c r="E52"/>
  <c r="E53" s="1"/>
  <c r="E54" s="1"/>
  <c r="I62"/>
  <c r="J62" s="1"/>
  <c r="C23" s="1"/>
  <c r="G29" i="37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K21"/>
  <c r="L13"/>
  <c r="L13" i="14"/>
  <c r="H15"/>
  <c r="I15" s="1"/>
  <c r="F11"/>
  <c r="F13"/>
  <c r="L13" i="35"/>
  <c r="G3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E3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H13" i="37"/>
  <c r="H62" s="1"/>
  <c r="E33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31"/>
  <c r="E32" s="1"/>
  <c r="H60" i="14" l="1"/>
  <c r="I60" s="1"/>
  <c r="J60" s="1"/>
  <c r="I11" i="37"/>
  <c r="E52"/>
  <c r="E53" s="1"/>
  <c r="E54" s="1"/>
  <c r="I11" i="35"/>
  <c r="E50"/>
  <c r="E51" s="1"/>
  <c r="E52" s="1"/>
  <c r="E53" s="1"/>
  <c r="E54" s="1"/>
  <c r="E55" s="1"/>
  <c r="I13"/>
  <c r="G50"/>
  <c r="G51" s="1"/>
  <c r="G52" s="1"/>
  <c r="G53" s="1"/>
  <c r="G54" s="1"/>
  <c r="G55" s="1"/>
  <c r="I13" i="37"/>
  <c r="G52"/>
  <c r="G53" s="1"/>
  <c r="G54" s="1"/>
  <c r="L23" i="30"/>
  <c r="K24"/>
  <c r="L24" s="1"/>
  <c r="G29" i="14"/>
  <c r="G30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L21" i="37"/>
  <c r="K23"/>
  <c r="I62"/>
  <c r="J62" s="1"/>
  <c r="C23" s="1"/>
  <c r="E29" i="14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C23" i="35"/>
  <c r="C23" i="14" l="1"/>
  <c r="I11"/>
  <c r="E52"/>
  <c r="E53" s="1"/>
  <c r="E54" s="1"/>
  <c r="E55" s="1"/>
  <c r="I13"/>
  <c r="G52"/>
  <c r="G53" s="1"/>
  <c r="G54" s="1"/>
  <c r="G55" s="1"/>
  <c r="K23" i="35"/>
  <c r="L23" i="37"/>
  <c r="K24"/>
  <c r="L24" s="1"/>
  <c r="K23" i="14" l="1"/>
  <c r="L23" i="35"/>
  <c r="K24"/>
  <c r="L24" s="1"/>
  <c r="L23" i="14" l="1"/>
  <c r="K24"/>
  <c r="L24" s="1"/>
</calcChain>
</file>

<file path=xl/sharedStrings.xml><?xml version="1.0" encoding="utf-8"?>
<sst xmlns="http://schemas.openxmlformats.org/spreadsheetml/2006/main" count="228" uniqueCount="57">
  <si>
    <t>MACH</t>
  </si>
  <si>
    <t>Vz</t>
  </si>
  <si>
    <t>CRUISE</t>
  </si>
  <si>
    <t>CLIMB</t>
  </si>
  <si>
    <t>DESCENT</t>
  </si>
  <si>
    <t>(kg/min)</t>
  </si>
  <si>
    <t>Conso</t>
  </si>
  <si>
    <t>Расстояния</t>
  </si>
  <si>
    <t>Время</t>
  </si>
  <si>
    <t>TOW:</t>
  </si>
  <si>
    <t>Высота (ft)</t>
  </si>
  <si>
    <t>Лист расчета горючего для B747-400</t>
  </si>
  <si>
    <t>Скорости:</t>
  </si>
  <si>
    <t>Топливо</t>
  </si>
  <si>
    <t>Максимальная вместимость</t>
  </si>
  <si>
    <t>Скорость (knt)</t>
  </si>
  <si>
    <t>Высота макс:</t>
  </si>
  <si>
    <t>Расход топлива</t>
  </si>
  <si>
    <t>На руление -</t>
  </si>
  <si>
    <t>Обязательный остаток -</t>
  </si>
  <si>
    <t>Непредвиденный расход -</t>
  </si>
  <si>
    <t xml:space="preserve">Расстояние - </t>
  </si>
  <si>
    <t xml:space="preserve">Груз - </t>
  </si>
  <si>
    <t xml:space="preserve">ZFW - </t>
  </si>
  <si>
    <t xml:space="preserve">LW - </t>
  </si>
  <si>
    <t>Лист расчета горючего для B747-400F</t>
  </si>
  <si>
    <t>Загрузка</t>
  </si>
  <si>
    <t>250-320</t>
  </si>
  <si>
    <t>270-320</t>
  </si>
  <si>
    <t>320-250</t>
  </si>
  <si>
    <t xml:space="preserve">На эшелоне - </t>
  </si>
  <si>
    <t xml:space="preserve">В наборе - </t>
  </si>
  <si>
    <t xml:space="preserve">На снижении - </t>
  </si>
  <si>
    <t>Планируемый эшелон -</t>
  </si>
  <si>
    <t>Расст. до запасного</t>
  </si>
  <si>
    <t xml:space="preserve">Скорость ветра - </t>
  </si>
  <si>
    <t>(+) - против, (-) - по ветру</t>
  </si>
  <si>
    <t xml:space="preserve">PAX - </t>
  </si>
  <si>
    <t xml:space="preserve">Топливо (max) - </t>
  </si>
  <si>
    <t xml:space="preserve">Итого топлива - </t>
  </si>
  <si>
    <t>BOW -</t>
  </si>
  <si>
    <t xml:space="preserve">MLW - </t>
  </si>
  <si>
    <t xml:space="preserve">MTOW - </t>
  </si>
  <si>
    <t>Уклон</t>
  </si>
  <si>
    <t>Справочные данные</t>
  </si>
  <si>
    <t>Справочные данные по максимальной загрузке</t>
  </si>
  <si>
    <t xml:space="preserve">PAX (чел.) - </t>
  </si>
  <si>
    <t xml:space="preserve">Багаж (кг) - </t>
  </si>
  <si>
    <t xml:space="preserve">Груз (кг) - </t>
  </si>
  <si>
    <t>-------------------------------------------------------------------------------</t>
  </si>
  <si>
    <t xml:space="preserve">В набре - </t>
  </si>
  <si>
    <t>Параметры полета</t>
  </si>
  <si>
    <t>Приборная</t>
  </si>
  <si>
    <t>Индикат.</t>
  </si>
  <si>
    <t xml:space="preserve">MZFW - </t>
  </si>
  <si>
    <t>Лист расчета горючего для MD-11</t>
  </si>
  <si>
    <t xml:space="preserve"> </t>
  </si>
</sst>
</file>

<file path=xl/styles.xml><?xml version="1.0" encoding="utf-8"?>
<styleSheet xmlns="http://schemas.openxmlformats.org/spreadsheetml/2006/main">
  <numFmts count="12">
    <numFmt numFmtId="164" formatCode="#,##0&quot;kg&quot;"/>
    <numFmt numFmtId="165" formatCode="#,##0&quot;lbs&quot;"/>
    <numFmt numFmtId="166" formatCode="#,##0&quot;ft&quot;"/>
    <numFmt numFmtId="167" formatCode="#,##0&quot;kts&quot;"/>
    <numFmt numFmtId="168" formatCode="#,##0&quot;ft/min&quot;"/>
    <numFmt numFmtId="169" formatCode="#,##0&quot;Nm&quot;"/>
    <numFmt numFmtId="170" formatCode="0&quot;min&quot;"/>
    <numFmt numFmtId="171" formatCode="#,##0&quot; чел&quot;"/>
    <numFmt numFmtId="172" formatCode="###&quot;час&quot;.&quot;  &quot;00&quot;мин&quot;"/>
    <numFmt numFmtId="173" formatCode="#,##0&quot; m&quot;"/>
    <numFmt numFmtId="174" formatCode="#,##0&quot; km&quot;"/>
    <numFmt numFmtId="175" formatCode="#,##0&quot; km/h&quot;"/>
  </numFmts>
  <fonts count="31">
    <font>
      <sz val="10"/>
      <name val="Arial"/>
      <family val="2"/>
    </font>
    <font>
      <sz val="10"/>
      <name val="Arial"/>
      <family val="2"/>
    </font>
    <font>
      <strike/>
      <sz val="10"/>
      <color indexed="53"/>
      <name val="Times New Roman"/>
      <family val="1"/>
    </font>
    <font>
      <b/>
      <strike/>
      <sz val="10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indexed="60"/>
      <name val="Arial"/>
      <family val="2"/>
    </font>
    <font>
      <b/>
      <sz val="15"/>
      <color indexed="18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indexed="12"/>
      <name val="Arial"/>
      <family val="2"/>
      <charset val="204"/>
    </font>
    <font>
      <b/>
      <sz val="10"/>
      <color indexed="12"/>
      <name val="Arial"/>
      <family val="2"/>
      <charset val="204"/>
    </font>
    <font>
      <b/>
      <i/>
      <sz val="14"/>
      <color indexed="12"/>
      <name val="Arial"/>
      <family val="2"/>
      <charset val="204"/>
    </font>
    <font>
      <b/>
      <sz val="10"/>
      <color indexed="17"/>
      <name val="Arial"/>
      <family val="2"/>
      <charset val="204"/>
    </font>
    <font>
      <b/>
      <sz val="10"/>
      <color indexed="18"/>
      <name val="Arial"/>
      <family val="2"/>
      <charset val="204"/>
    </font>
    <font>
      <sz val="10"/>
      <color indexed="48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b/>
      <sz val="10"/>
      <color indexed="16"/>
      <name val="Arial"/>
      <family val="2"/>
    </font>
    <font>
      <sz val="10"/>
      <color indexed="16"/>
      <name val="Arial"/>
      <family val="2"/>
    </font>
    <font>
      <b/>
      <sz val="14"/>
      <color indexed="16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8"/>
      <name val="Arial"/>
      <family val="2"/>
      <charset val="204"/>
    </font>
    <font>
      <b/>
      <i/>
      <sz val="9"/>
      <color indexed="12"/>
      <name val="Arial"/>
      <family val="2"/>
      <charset val="204"/>
    </font>
    <font>
      <b/>
      <i/>
      <sz val="10"/>
      <color indexed="56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34"/>
        <bgColor indexed="13"/>
      </patternFill>
    </fill>
    <fill>
      <patternFill patternType="solid">
        <fgColor indexed="11"/>
        <bgColor indexed="49"/>
      </patternFill>
    </fill>
    <fill>
      <patternFill patternType="solid">
        <fgColor indexed="50"/>
        <bgColor indexed="55"/>
      </patternFill>
    </fill>
    <fill>
      <patternFill patternType="solid">
        <fgColor indexed="15"/>
        <bgColor indexed="35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51"/>
      </patternFill>
    </fill>
    <fill>
      <patternFill patternType="solid">
        <fgColor indexed="22"/>
        <bgColor indexed="41"/>
      </patternFill>
    </fill>
    <fill>
      <patternFill patternType="solid">
        <fgColor indexed="22"/>
        <bgColor indexed="35"/>
      </patternFill>
    </fill>
    <fill>
      <patternFill patternType="solid">
        <fgColor indexed="22"/>
        <bgColor indexed="3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medium">
        <color indexed="8"/>
      </right>
      <top/>
      <bottom/>
      <diagonal/>
    </border>
    <border>
      <left style="double">
        <color rgb="FFFF0000"/>
      </left>
      <right style="medium">
        <color indexed="8"/>
      </right>
      <top style="double">
        <color rgb="FFFF0000"/>
      </top>
      <bottom/>
      <diagonal/>
    </border>
    <border>
      <left/>
      <right style="medium">
        <color indexed="8"/>
      </right>
      <top style="double">
        <color rgb="FFFF0000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medium">
        <color indexed="8"/>
      </right>
      <top/>
      <bottom style="double">
        <color rgb="FFFF0000"/>
      </bottom>
      <diagonal/>
    </border>
    <border>
      <left/>
      <right style="medium">
        <color indexed="8"/>
      </right>
      <top style="double">
        <color rgb="FFFF0000"/>
      </top>
      <bottom/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medium">
        <color indexed="8"/>
      </right>
      <top style="double">
        <color rgb="FFFF0000"/>
      </top>
      <bottom style="double">
        <color rgb="FFFF0000"/>
      </bottom>
      <diagonal/>
    </border>
    <border>
      <left/>
      <right/>
      <top style="thin">
        <color indexed="64"/>
      </top>
      <bottom style="double">
        <color rgb="FFFF0000"/>
      </bottom>
      <diagonal/>
    </border>
    <border>
      <left/>
      <right/>
      <top style="double">
        <color rgb="FFFF0000"/>
      </top>
      <bottom style="medium">
        <color indexed="8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71">
    <xf numFmtId="0" fontId="1" fillId="0" borderId="0" xfId="0" applyFont="1"/>
    <xf numFmtId="0" fontId="8" fillId="0" borderId="0" xfId="0" applyFont="1"/>
    <xf numFmtId="3" fontId="1" fillId="0" borderId="0" xfId="0" applyNumberFormat="1" applyFont="1" applyAlignment="1">
      <alignment horizontal="center"/>
    </xf>
    <xf numFmtId="0" fontId="8" fillId="3" borderId="1" xfId="0" applyFont="1" applyFill="1" applyBorder="1" applyAlignment="1" applyProtection="1">
      <alignment horizontal="center"/>
      <protection hidden="1"/>
    </xf>
    <xf numFmtId="0" fontId="1" fillId="4" borderId="0" xfId="0" applyFont="1" applyFill="1" applyProtection="1">
      <protection hidden="1"/>
    </xf>
    <xf numFmtId="0" fontId="1" fillId="3" borderId="0" xfId="0" applyFont="1" applyFill="1" applyProtection="1">
      <protection hidden="1"/>
    </xf>
    <xf numFmtId="0" fontId="1" fillId="4" borderId="0" xfId="0" applyFont="1" applyFill="1" applyAlignment="1" applyProtection="1">
      <alignment horizontal="center"/>
      <protection hidden="1"/>
    </xf>
    <xf numFmtId="0" fontId="1" fillId="3" borderId="0" xfId="0" applyFont="1" applyFill="1" applyAlignment="1" applyProtection="1">
      <alignment horizontal="center"/>
      <protection hidden="1"/>
    </xf>
    <xf numFmtId="2" fontId="1" fillId="4" borderId="0" xfId="0" applyNumberFormat="1" applyFont="1" applyFill="1" applyAlignment="1" applyProtection="1">
      <alignment horizontal="center"/>
      <protection hidden="1"/>
    </xf>
    <xf numFmtId="1" fontId="1" fillId="4" borderId="0" xfId="0" applyNumberFormat="1" applyFont="1" applyFill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1" fillId="5" borderId="0" xfId="0" applyFont="1" applyFill="1" applyAlignment="1" applyProtection="1">
      <alignment horizontal="center"/>
      <protection hidden="1"/>
    </xf>
    <xf numFmtId="2" fontId="1" fillId="5" borderId="0" xfId="0" applyNumberFormat="1" applyFont="1" applyFill="1" applyAlignment="1" applyProtection="1">
      <alignment horizontal="center"/>
      <protection hidden="1"/>
    </xf>
    <xf numFmtId="0" fontId="1" fillId="6" borderId="0" xfId="0" applyFont="1" applyFill="1" applyAlignment="1" applyProtection="1">
      <alignment horizontal="center"/>
      <protection hidden="1"/>
    </xf>
    <xf numFmtId="2" fontId="1" fillId="6" borderId="0" xfId="0" applyNumberFormat="1" applyFont="1" applyFill="1" applyAlignment="1" applyProtection="1">
      <alignment horizontal="center"/>
      <protection hidden="1"/>
    </xf>
    <xf numFmtId="1" fontId="1" fillId="6" borderId="0" xfId="0" applyNumberFormat="1" applyFont="1" applyFill="1" applyAlignment="1" applyProtection="1">
      <alignment horizontal="center"/>
      <protection hidden="1"/>
    </xf>
    <xf numFmtId="0" fontId="1" fillId="3" borderId="0" xfId="0" applyFont="1" applyFill="1" applyAlignment="1">
      <alignment horizontal="center"/>
    </xf>
    <xf numFmtId="2" fontId="1" fillId="5" borderId="0" xfId="0" applyNumberFormat="1" applyFont="1" applyFill="1" applyAlignment="1">
      <alignment horizontal="center"/>
    </xf>
    <xf numFmtId="2" fontId="1" fillId="4" borderId="0" xfId="0" applyNumberFormat="1" applyFont="1" applyFill="1" applyAlignment="1">
      <alignment horizontal="center"/>
    </xf>
    <xf numFmtId="2" fontId="1" fillId="6" borderId="0" xfId="0" applyNumberFormat="1" applyFont="1" applyFill="1" applyAlignment="1">
      <alignment horizontal="center"/>
    </xf>
    <xf numFmtId="2" fontId="1" fillId="0" borderId="0" xfId="0" applyNumberFormat="1" applyFont="1"/>
    <xf numFmtId="1" fontId="1" fillId="0" borderId="0" xfId="0" applyNumberFormat="1" applyFont="1"/>
    <xf numFmtId="164" fontId="6" fillId="0" borderId="2" xfId="0" applyNumberFormat="1" applyFont="1" applyFill="1" applyBorder="1" applyAlignment="1" applyProtection="1">
      <alignment horizontal="center"/>
      <protection hidden="1"/>
    </xf>
    <xf numFmtId="0" fontId="5" fillId="7" borderId="0" xfId="0" applyFont="1" applyFill="1" applyBorder="1"/>
    <xf numFmtId="0" fontId="1" fillId="7" borderId="0" xfId="0" applyFont="1" applyFill="1"/>
    <xf numFmtId="164" fontId="6" fillId="7" borderId="0" xfId="0" applyNumberFormat="1" applyFont="1" applyFill="1" applyAlignment="1" applyProtection="1">
      <alignment horizontal="center"/>
      <protection hidden="1"/>
    </xf>
    <xf numFmtId="0" fontId="8" fillId="7" borderId="0" xfId="0" applyFont="1" applyFill="1" applyAlignment="1">
      <alignment horizontal="right"/>
    </xf>
    <xf numFmtId="0" fontId="8" fillId="7" borderId="0" xfId="0" applyFont="1" applyFill="1" applyAlignment="1">
      <alignment horizontal="center"/>
    </xf>
    <xf numFmtId="164" fontId="6" fillId="7" borderId="0" xfId="0" applyNumberFormat="1" applyFont="1" applyFill="1" applyBorder="1" applyAlignment="1" applyProtection="1">
      <alignment horizontal="center"/>
      <protection hidden="1"/>
    </xf>
    <xf numFmtId="0" fontId="1" fillId="7" borderId="3" xfId="0" applyFont="1" applyFill="1" applyBorder="1"/>
    <xf numFmtId="0" fontId="9" fillId="7" borderId="0" xfId="0" applyFont="1" applyFill="1" applyAlignment="1">
      <alignment horizontal="right"/>
    </xf>
    <xf numFmtId="0" fontId="8" fillId="7" borderId="0" xfId="0" applyFont="1" applyFill="1" applyAlignment="1">
      <alignment horizontal="right" vertical="center"/>
    </xf>
    <xf numFmtId="0" fontId="6" fillId="7" borderId="0" xfId="0" applyFont="1" applyFill="1" applyBorder="1" applyAlignment="1" applyProtection="1">
      <alignment horizontal="center"/>
      <protection locked="0"/>
    </xf>
    <xf numFmtId="0" fontId="1" fillId="7" borderId="4" xfId="0" applyFont="1" applyFill="1" applyBorder="1"/>
    <xf numFmtId="167" fontId="6" fillId="8" borderId="0" xfId="0" applyNumberFormat="1" applyFont="1" applyFill="1" applyAlignment="1" applyProtection="1">
      <alignment horizontal="center"/>
      <protection hidden="1"/>
    </xf>
    <xf numFmtId="168" fontId="6" fillId="8" borderId="0" xfId="0" applyNumberFormat="1" applyFont="1" applyFill="1" applyAlignment="1" applyProtection="1">
      <alignment horizontal="center"/>
      <protection hidden="1"/>
    </xf>
    <xf numFmtId="169" fontId="6" fillId="8" borderId="0" xfId="0" applyNumberFormat="1" applyFont="1" applyFill="1" applyAlignment="1" applyProtection="1">
      <alignment horizontal="center"/>
      <protection hidden="1"/>
    </xf>
    <xf numFmtId="170" fontId="6" fillId="8" borderId="0" xfId="0" applyNumberFormat="1" applyFont="1" applyFill="1" applyAlignment="1" applyProtection="1">
      <alignment horizontal="center"/>
      <protection hidden="1"/>
    </xf>
    <xf numFmtId="164" fontId="6" fillId="8" borderId="0" xfId="0" applyNumberFormat="1" applyFont="1" applyFill="1" applyAlignment="1" applyProtection="1">
      <alignment horizontal="center"/>
      <protection hidden="1"/>
    </xf>
    <xf numFmtId="0" fontId="16" fillId="7" borderId="0" xfId="0" applyFont="1" applyFill="1" applyAlignment="1">
      <alignment horizontal="right" vertical="center"/>
    </xf>
    <xf numFmtId="9" fontId="6" fillId="7" borderId="0" xfId="0" applyNumberFormat="1" applyFont="1" applyFill="1" applyAlignment="1">
      <alignment horizontal="center"/>
    </xf>
    <xf numFmtId="0" fontId="16" fillId="7" borderId="0" xfId="0" applyFont="1" applyFill="1" applyAlignment="1">
      <alignment horizontal="right"/>
    </xf>
    <xf numFmtId="167" fontId="6" fillId="7" borderId="0" xfId="0" applyNumberFormat="1" applyFont="1" applyFill="1" applyBorder="1" applyAlignment="1" applyProtection="1">
      <alignment horizontal="center"/>
      <protection locked="0"/>
    </xf>
    <xf numFmtId="167" fontId="6" fillId="7" borderId="0" xfId="0" applyNumberFormat="1" applyFont="1" applyFill="1" applyAlignment="1" applyProtection="1">
      <alignment horizontal="center"/>
      <protection hidden="1"/>
    </xf>
    <xf numFmtId="9" fontId="6" fillId="7" borderId="0" xfId="0" applyNumberFormat="1" applyFont="1" applyFill="1" applyBorder="1" applyAlignment="1" applyProtection="1">
      <alignment horizontal="center"/>
      <protection locked="0"/>
    </xf>
    <xf numFmtId="168" fontId="6" fillId="7" borderId="0" xfId="0" applyNumberFormat="1" applyFont="1" applyFill="1" applyAlignment="1" applyProtection="1">
      <alignment horizontal="center"/>
      <protection hidden="1"/>
    </xf>
    <xf numFmtId="169" fontId="6" fillId="7" borderId="0" xfId="0" applyNumberFormat="1" applyFont="1" applyFill="1" applyAlignment="1" applyProtection="1">
      <alignment horizontal="center"/>
      <protection hidden="1"/>
    </xf>
    <xf numFmtId="170" fontId="6" fillId="7" borderId="0" xfId="0" applyNumberFormat="1" applyFont="1" applyFill="1" applyAlignment="1" applyProtection="1">
      <alignment horizontal="center"/>
      <protection hidden="1"/>
    </xf>
    <xf numFmtId="165" fontId="1" fillId="7" borderId="4" xfId="0" applyNumberFormat="1" applyFont="1" applyFill="1" applyBorder="1" applyAlignment="1" applyProtection="1">
      <alignment horizontal="center"/>
      <protection hidden="1"/>
    </xf>
    <xf numFmtId="169" fontId="6" fillId="7" borderId="0" xfId="0" applyNumberFormat="1" applyFont="1" applyFill="1" applyBorder="1" applyAlignment="1" applyProtection="1">
      <alignment horizontal="center"/>
      <protection locked="0"/>
    </xf>
    <xf numFmtId="170" fontId="10" fillId="7" borderId="0" xfId="0" applyNumberFormat="1" applyFont="1" applyFill="1" applyBorder="1" applyAlignment="1" applyProtection="1">
      <alignment horizontal="center"/>
      <protection hidden="1"/>
    </xf>
    <xf numFmtId="164" fontId="10" fillId="7" borderId="0" xfId="0" applyNumberFormat="1" applyFont="1" applyFill="1" applyBorder="1" applyAlignment="1" applyProtection="1">
      <alignment horizontal="center"/>
      <protection hidden="1"/>
    </xf>
    <xf numFmtId="165" fontId="12" fillId="10" borderId="4" xfId="0" applyNumberFormat="1" applyFont="1" applyFill="1" applyBorder="1" applyAlignment="1" applyProtection="1">
      <alignment horizontal="center"/>
      <protection hidden="1"/>
    </xf>
    <xf numFmtId="0" fontId="1" fillId="7" borderId="6" xfId="0" applyFont="1" applyFill="1" applyBorder="1"/>
    <xf numFmtId="0" fontId="1" fillId="7" borderId="7" xfId="0" applyFont="1" applyFill="1" applyBorder="1"/>
    <xf numFmtId="167" fontId="6" fillId="0" borderId="5" xfId="0" applyNumberFormat="1" applyFont="1" applyFill="1" applyBorder="1" applyAlignment="1" applyProtection="1">
      <alignment horizontal="center"/>
      <protection locked="0"/>
    </xf>
    <xf numFmtId="9" fontId="6" fillId="0" borderId="5" xfId="0" applyNumberFormat="1" applyFont="1" applyFill="1" applyBorder="1" applyAlignment="1" applyProtection="1">
      <alignment horizontal="center"/>
      <protection locked="0"/>
    </xf>
    <xf numFmtId="166" fontId="6" fillId="0" borderId="5" xfId="0" applyNumberFormat="1" applyFont="1" applyFill="1" applyBorder="1" applyAlignment="1" applyProtection="1">
      <alignment horizontal="center" vertical="center"/>
      <protection locked="0"/>
    </xf>
    <xf numFmtId="169" fontId="6" fillId="0" borderId="5" xfId="0" applyNumberFormat="1" applyFont="1" applyFill="1" applyBorder="1" applyAlignment="1" applyProtection="1">
      <alignment horizontal="center"/>
      <protection locked="0"/>
    </xf>
    <xf numFmtId="171" fontId="13" fillId="0" borderId="2" xfId="0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64" fontId="20" fillId="8" borderId="0" xfId="0" applyNumberFormat="1" applyFont="1" applyFill="1" applyAlignment="1" applyProtection="1">
      <alignment horizontal="center"/>
      <protection hidden="1"/>
    </xf>
    <xf numFmtId="164" fontId="20" fillId="7" borderId="0" xfId="0" applyNumberFormat="1" applyFont="1" applyFill="1" applyBorder="1" applyAlignment="1" applyProtection="1">
      <alignment horizontal="center"/>
      <protection locked="0"/>
    </xf>
    <xf numFmtId="164" fontId="20" fillId="7" borderId="0" xfId="0" applyNumberFormat="1" applyFont="1" applyFill="1" applyBorder="1" applyAlignment="1" applyProtection="1">
      <alignment horizontal="center"/>
      <protection hidden="1"/>
    </xf>
    <xf numFmtId="165" fontId="21" fillId="8" borderId="4" xfId="0" applyNumberFormat="1" applyFont="1" applyFill="1" applyBorder="1" applyAlignment="1" applyProtection="1">
      <alignment horizontal="center"/>
      <protection hidden="1"/>
    </xf>
    <xf numFmtId="165" fontId="21" fillId="7" borderId="4" xfId="0" applyNumberFormat="1" applyFont="1" applyFill="1" applyBorder="1" applyAlignment="1">
      <alignment horizontal="center"/>
    </xf>
    <xf numFmtId="164" fontId="6" fillId="0" borderId="8" xfId="0" applyNumberFormat="1" applyFont="1" applyFill="1" applyBorder="1" applyAlignment="1" applyProtection="1">
      <alignment horizontal="center"/>
      <protection locked="0"/>
    </xf>
    <xf numFmtId="164" fontId="22" fillId="7" borderId="0" xfId="0" applyNumberFormat="1" applyFont="1" applyFill="1" applyBorder="1" applyAlignment="1" applyProtection="1">
      <alignment horizontal="center"/>
      <protection locked="0"/>
    </xf>
    <xf numFmtId="165" fontId="23" fillId="7" borderId="4" xfId="0" applyNumberFormat="1" applyFont="1" applyFill="1" applyBorder="1" applyAlignment="1">
      <alignment horizontal="center"/>
    </xf>
    <xf numFmtId="165" fontId="23" fillId="8" borderId="4" xfId="0" applyNumberFormat="1" applyFont="1" applyFill="1" applyBorder="1" applyAlignment="1" applyProtection="1">
      <alignment horizontal="center"/>
      <protection hidden="1"/>
    </xf>
    <xf numFmtId="164" fontId="24" fillId="11" borderId="0" xfId="0" applyNumberFormat="1" applyFont="1" applyFill="1" applyAlignment="1" applyProtection="1">
      <alignment horizontal="center"/>
      <protection hidden="1"/>
    </xf>
    <xf numFmtId="165" fontId="25" fillId="11" borderId="4" xfId="0" applyNumberFormat="1" applyFont="1" applyFill="1" applyBorder="1" applyAlignment="1" applyProtection="1">
      <alignment horizontal="center"/>
      <protection hidden="1"/>
    </xf>
    <xf numFmtId="164" fontId="22" fillId="8" borderId="7" xfId="2" applyNumberFormat="1" applyFont="1" applyFill="1" applyBorder="1" applyAlignment="1" applyProtection="1">
      <alignment horizontal="center" vertical="center"/>
      <protection hidden="1"/>
    </xf>
    <xf numFmtId="165" fontId="23" fillId="8" borderId="9" xfId="0" applyNumberFormat="1" applyFont="1" applyFill="1" applyBorder="1" applyAlignment="1" applyProtection="1">
      <alignment horizontal="center" vertical="center"/>
      <protection hidden="1"/>
    </xf>
    <xf numFmtId="164" fontId="13" fillId="7" borderId="0" xfId="0" applyNumberFormat="1" applyFont="1" applyFill="1" applyBorder="1" applyAlignment="1">
      <alignment horizontal="center"/>
    </xf>
    <xf numFmtId="0" fontId="16" fillId="7" borderId="0" xfId="0" applyFont="1" applyFill="1" applyBorder="1" applyAlignment="1">
      <alignment horizontal="right"/>
    </xf>
    <xf numFmtId="170" fontId="27" fillId="9" borderId="0" xfId="0" applyNumberFormat="1" applyFont="1" applyFill="1" applyBorder="1" applyAlignment="1" applyProtection="1">
      <alignment horizontal="center"/>
      <protection hidden="1"/>
    </xf>
    <xf numFmtId="164" fontId="27" fillId="9" borderId="0" xfId="0" applyNumberFormat="1" applyFont="1" applyFill="1" applyBorder="1" applyAlignment="1" applyProtection="1">
      <alignment horizontal="center"/>
      <protection hidden="1"/>
    </xf>
    <xf numFmtId="169" fontId="6" fillId="0" borderId="10" xfId="0" applyNumberFormat="1" applyFont="1" applyFill="1" applyBorder="1" applyAlignment="1" applyProtection="1">
      <alignment horizontal="center"/>
      <protection locked="0"/>
    </xf>
    <xf numFmtId="171" fontId="13" fillId="7" borderId="0" xfId="0" applyNumberFormat="1" applyFont="1" applyFill="1" applyBorder="1" applyAlignment="1">
      <alignment horizontal="center" vertical="center"/>
    </xf>
    <xf numFmtId="164" fontId="13" fillId="7" borderId="0" xfId="0" applyNumberFormat="1" applyFont="1" applyFill="1" applyBorder="1" applyAlignment="1">
      <alignment horizontal="center" vertical="center"/>
    </xf>
    <xf numFmtId="164" fontId="28" fillId="0" borderId="2" xfId="0" applyNumberFormat="1" applyFont="1" applyFill="1" applyBorder="1" applyAlignment="1" applyProtection="1">
      <alignment horizontal="center"/>
      <protection hidden="1"/>
    </xf>
    <xf numFmtId="0" fontId="1" fillId="7" borderId="7" xfId="0" applyFont="1" applyFill="1" applyBorder="1" applyAlignment="1">
      <alignment horizontal="right"/>
    </xf>
    <xf numFmtId="0" fontId="14" fillId="7" borderId="0" xfId="0" applyFont="1" applyFill="1" applyAlignment="1">
      <alignment horizontal="center"/>
    </xf>
    <xf numFmtId="0" fontId="5" fillId="7" borderId="11" xfId="0" applyFont="1" applyFill="1" applyBorder="1"/>
    <xf numFmtId="0" fontId="6" fillId="7" borderId="12" xfId="0" applyFont="1" applyFill="1" applyBorder="1"/>
    <xf numFmtId="0" fontId="7" fillId="7" borderId="0" xfId="0" applyFont="1" applyFill="1" applyBorder="1" applyAlignment="1">
      <alignment horizontal="right"/>
    </xf>
    <xf numFmtId="165" fontId="1" fillId="7" borderId="13" xfId="0" applyNumberFormat="1" applyFont="1" applyFill="1" applyBorder="1" applyAlignment="1" applyProtection="1">
      <alignment horizontal="center"/>
      <protection hidden="1"/>
    </xf>
    <xf numFmtId="0" fontId="1" fillId="7" borderId="12" xfId="0" applyFont="1" applyFill="1" applyBorder="1"/>
    <xf numFmtId="0" fontId="1" fillId="7" borderId="0" xfId="0" applyFont="1" applyFill="1" applyBorder="1"/>
    <xf numFmtId="165" fontId="1" fillId="7" borderId="13" xfId="0" applyNumberFormat="1" applyFont="1" applyFill="1" applyBorder="1" applyAlignment="1">
      <alignment horizontal="center"/>
    </xf>
    <xf numFmtId="0" fontId="8" fillId="7" borderId="0" xfId="0" applyFont="1" applyFill="1" applyBorder="1"/>
    <xf numFmtId="0" fontId="0" fillId="7" borderId="0" xfId="0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right"/>
    </xf>
    <xf numFmtId="0" fontId="19" fillId="7" borderId="0" xfId="0" applyFont="1" applyFill="1" applyBorder="1" applyAlignment="1">
      <alignment horizontal="center" vertical="top"/>
    </xf>
    <xf numFmtId="2" fontId="19" fillId="7" borderId="0" xfId="0" applyNumberFormat="1" applyFont="1" applyFill="1" applyBorder="1" applyAlignment="1">
      <alignment horizontal="center"/>
    </xf>
    <xf numFmtId="166" fontId="19" fillId="7" borderId="0" xfId="0" applyNumberFormat="1" applyFont="1" applyFill="1" applyBorder="1" applyAlignment="1">
      <alignment horizontal="center"/>
    </xf>
    <xf numFmtId="0" fontId="19" fillId="7" borderId="0" xfId="0" applyFont="1" applyFill="1" applyBorder="1" applyAlignment="1">
      <alignment horizontal="center"/>
    </xf>
    <xf numFmtId="0" fontId="1" fillId="7" borderId="14" xfId="0" applyFont="1" applyFill="1" applyBorder="1"/>
    <xf numFmtId="0" fontId="1" fillId="7" borderId="15" xfId="0" applyFont="1" applyFill="1" applyBorder="1"/>
    <xf numFmtId="0" fontId="1" fillId="7" borderId="15" xfId="0" applyFont="1" applyFill="1" applyBorder="1" applyAlignment="1">
      <alignment horizontal="center"/>
    </xf>
    <xf numFmtId="3" fontId="1" fillId="7" borderId="15" xfId="0" applyNumberFormat="1" applyFont="1" applyFill="1" applyBorder="1" applyAlignment="1">
      <alignment horizontal="center"/>
    </xf>
    <xf numFmtId="3" fontId="1" fillId="7" borderId="16" xfId="0" applyNumberFormat="1" applyFont="1" applyFill="1" applyBorder="1" applyAlignment="1">
      <alignment horizontal="center"/>
    </xf>
    <xf numFmtId="173" fontId="30" fillId="7" borderId="0" xfId="0" applyNumberFormat="1" applyFont="1" applyFill="1" applyAlignment="1">
      <alignment horizontal="right"/>
    </xf>
    <xf numFmtId="0" fontId="30" fillId="7" borderId="0" xfId="0" applyFont="1" applyFill="1" applyBorder="1" applyAlignment="1">
      <alignment horizontal="right"/>
    </xf>
    <xf numFmtId="174" fontId="30" fillId="7" borderId="17" xfId="0" applyNumberFormat="1" applyFont="1" applyFill="1" applyBorder="1" applyAlignment="1">
      <alignment horizontal="right"/>
    </xf>
    <xf numFmtId="175" fontId="30" fillId="7" borderId="0" xfId="0" applyNumberFormat="1" applyFont="1" applyFill="1" applyAlignment="1">
      <alignment horizontal="right"/>
    </xf>
    <xf numFmtId="173" fontId="30" fillId="7" borderId="0" xfId="0" applyNumberFormat="1" applyFont="1" applyFill="1" applyAlignment="1">
      <alignment horizontal="right" vertical="center"/>
    </xf>
    <xf numFmtId="0" fontId="30" fillId="7" borderId="0" xfId="0" applyFont="1" applyFill="1" applyBorder="1" applyAlignment="1">
      <alignment horizontal="right" vertical="center"/>
    </xf>
    <xf numFmtId="174" fontId="30" fillId="7" borderId="17" xfId="0" applyNumberFormat="1" applyFont="1" applyFill="1" applyBorder="1" applyAlignment="1">
      <alignment horizontal="right" vertical="center"/>
    </xf>
    <xf numFmtId="175" fontId="30" fillId="7" borderId="0" xfId="0" applyNumberFormat="1" applyFont="1" applyFill="1" applyAlignment="1">
      <alignment horizontal="right" vertical="center"/>
    </xf>
    <xf numFmtId="0" fontId="14" fillId="7" borderId="0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right"/>
    </xf>
    <xf numFmtId="0" fontId="16" fillId="7" borderId="0" xfId="0" applyFont="1" applyFill="1" applyAlignment="1">
      <alignment horizontal="right"/>
    </xf>
    <xf numFmtId="0" fontId="16" fillId="7" borderId="18" xfId="0" applyFont="1" applyFill="1" applyBorder="1" applyAlignment="1">
      <alignment horizontal="right"/>
    </xf>
    <xf numFmtId="0" fontId="17" fillId="7" borderId="3" xfId="0" applyFont="1" applyFill="1" applyBorder="1"/>
    <xf numFmtId="0" fontId="17" fillId="7" borderId="0" xfId="0" applyFont="1" applyFill="1" applyBorder="1"/>
    <xf numFmtId="0" fontId="5" fillId="7" borderId="11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1" fillId="7" borderId="0" xfId="0" applyFont="1" applyFill="1" applyBorder="1"/>
    <xf numFmtId="0" fontId="4" fillId="7" borderId="3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right"/>
    </xf>
    <xf numFmtId="49" fontId="29" fillId="7" borderId="3" xfId="0" applyNumberFormat="1" applyFont="1" applyFill="1" applyBorder="1" applyAlignment="1">
      <alignment horizontal="center"/>
    </xf>
    <xf numFmtId="49" fontId="29" fillId="7" borderId="0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right" vertical="center"/>
    </xf>
    <xf numFmtId="0" fontId="16" fillId="7" borderId="18" xfId="0" applyFont="1" applyFill="1" applyBorder="1" applyAlignment="1">
      <alignment horizontal="right" vertical="center"/>
    </xf>
    <xf numFmtId="0" fontId="1" fillId="6" borderId="1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4" fillId="7" borderId="0" xfId="0" applyFont="1" applyFill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/>
    </xf>
    <xf numFmtId="0" fontId="16" fillId="7" borderId="7" xfId="0" applyFont="1" applyFill="1" applyBorder="1" applyAlignment="1">
      <alignment horizontal="right" vertical="center"/>
    </xf>
    <xf numFmtId="49" fontId="1" fillId="7" borderId="0" xfId="0" applyNumberFormat="1" applyFont="1" applyFill="1" applyAlignment="1">
      <alignment horizontal="center"/>
    </xf>
    <xf numFmtId="49" fontId="1" fillId="7" borderId="18" xfId="0" applyNumberFormat="1" applyFont="1" applyFill="1" applyBorder="1" applyAlignment="1">
      <alignment horizontal="center"/>
    </xf>
    <xf numFmtId="172" fontId="26" fillId="7" borderId="0" xfId="0" applyNumberFormat="1" applyFont="1" applyFill="1" applyAlignment="1">
      <alignment horizontal="right"/>
    </xf>
    <xf numFmtId="0" fontId="16" fillId="7" borderId="0" xfId="0" applyFont="1" applyFill="1"/>
    <xf numFmtId="0" fontId="18" fillId="7" borderId="0" xfId="0" applyFont="1" applyFill="1" applyBorder="1" applyAlignment="1">
      <alignment horizontal="right" vertical="center"/>
    </xf>
    <xf numFmtId="0" fontId="16" fillId="7" borderId="24" xfId="0" applyFont="1" applyFill="1" applyBorder="1" applyAlignment="1">
      <alignment horizontal="right"/>
    </xf>
    <xf numFmtId="164" fontId="11" fillId="9" borderId="0" xfId="0" applyNumberFormat="1" applyFont="1" applyFill="1" applyBorder="1" applyAlignment="1" applyProtection="1">
      <alignment horizontal="center"/>
      <protection hidden="1"/>
    </xf>
    <xf numFmtId="0" fontId="18" fillId="7" borderId="26" xfId="0" applyFont="1" applyFill="1" applyBorder="1" applyAlignment="1">
      <alignment horizontal="right" vertical="center"/>
    </xf>
    <xf numFmtId="164" fontId="11" fillId="9" borderId="27" xfId="0" applyNumberFormat="1" applyFont="1" applyFill="1" applyBorder="1" applyAlignment="1" applyProtection="1">
      <alignment horizontal="center"/>
      <protection hidden="1"/>
    </xf>
    <xf numFmtId="165" fontId="12" fillId="10" borderId="29" xfId="0" applyNumberFormat="1" applyFont="1" applyFill="1" applyBorder="1" applyAlignment="1" applyProtection="1">
      <alignment horizontal="center"/>
      <protection hidden="1"/>
    </xf>
    <xf numFmtId="165" fontId="23" fillId="8" borderId="30" xfId="0" applyNumberFormat="1" applyFont="1" applyFill="1" applyBorder="1" applyAlignment="1" applyProtection="1">
      <alignment horizontal="center" vertical="center"/>
      <protection hidden="1"/>
    </xf>
    <xf numFmtId="164" fontId="20" fillId="7" borderId="25" xfId="0" applyNumberFormat="1" applyFont="1" applyFill="1" applyBorder="1" applyAlignment="1" applyProtection="1">
      <alignment horizontal="center"/>
      <protection hidden="1"/>
    </xf>
    <xf numFmtId="164" fontId="20" fillId="7" borderId="31" xfId="0" applyNumberFormat="1" applyFont="1" applyFill="1" applyBorder="1" applyAlignment="1" applyProtection="1">
      <alignment horizontal="center"/>
      <protection locked="0"/>
    </xf>
    <xf numFmtId="164" fontId="20" fillId="8" borderId="32" xfId="0" applyNumberFormat="1" applyFont="1" applyFill="1" applyBorder="1" applyAlignment="1" applyProtection="1">
      <alignment horizontal="center"/>
      <protection hidden="1"/>
    </xf>
    <xf numFmtId="165" fontId="21" fillId="7" borderId="33" xfId="0" applyNumberFormat="1" applyFont="1" applyFill="1" applyBorder="1" applyAlignment="1">
      <alignment horizontal="center"/>
    </xf>
    <xf numFmtId="165" fontId="21" fillId="8" borderId="34" xfId="0" applyNumberFormat="1" applyFont="1" applyFill="1" applyBorder="1" applyAlignment="1" applyProtection="1">
      <alignment horizontal="center"/>
      <protection hidden="1"/>
    </xf>
    <xf numFmtId="164" fontId="20" fillId="8" borderId="27" xfId="0" applyNumberFormat="1" applyFont="1" applyFill="1" applyBorder="1" applyAlignment="1" applyProtection="1">
      <alignment horizontal="center"/>
      <protection hidden="1"/>
    </xf>
    <xf numFmtId="165" fontId="21" fillId="8" borderId="28" xfId="0" applyNumberFormat="1" applyFont="1" applyFill="1" applyBorder="1" applyAlignment="1" applyProtection="1">
      <alignment horizontal="center"/>
      <protection hidden="1"/>
    </xf>
    <xf numFmtId="0" fontId="1" fillId="7" borderId="35" xfId="0" applyFont="1" applyFill="1" applyBorder="1"/>
    <xf numFmtId="164" fontId="11" fillId="9" borderId="36" xfId="0" applyNumberFormat="1" applyFont="1" applyFill="1" applyBorder="1" applyAlignment="1" applyProtection="1">
      <alignment horizontal="center"/>
      <protection hidden="1"/>
    </xf>
    <xf numFmtId="0" fontId="1" fillId="7" borderId="33" xfId="0" applyFont="1" applyFill="1" applyBorder="1"/>
    <xf numFmtId="165" fontId="12" fillId="10" borderId="37" xfId="0" applyNumberFormat="1" applyFont="1" applyFill="1" applyBorder="1" applyAlignment="1" applyProtection="1">
      <alignment horizontal="center"/>
      <protection hidden="1"/>
    </xf>
    <xf numFmtId="164" fontId="11" fillId="9" borderId="32" xfId="0" applyNumberFormat="1" applyFont="1" applyFill="1" applyBorder="1" applyAlignment="1" applyProtection="1">
      <alignment horizontal="center"/>
      <protection hidden="1"/>
    </xf>
    <xf numFmtId="164" fontId="20" fillId="7" borderId="38" xfId="0" applyNumberFormat="1" applyFont="1" applyFill="1" applyBorder="1" applyAlignment="1" applyProtection="1">
      <alignment horizontal="center"/>
      <protection locked="0"/>
    </xf>
    <xf numFmtId="164" fontId="22" fillId="8" borderId="27" xfId="2" applyNumberFormat="1" applyFont="1" applyFill="1" applyBorder="1" applyAlignment="1" applyProtection="1">
      <alignment horizontal="center" vertical="center"/>
      <protection hidden="1"/>
    </xf>
    <xf numFmtId="165" fontId="21" fillId="8" borderId="37" xfId="0" applyNumberFormat="1" applyFont="1" applyFill="1" applyBorder="1" applyAlignment="1" applyProtection="1">
      <alignment horizontal="center"/>
      <protection hidden="1"/>
    </xf>
    <xf numFmtId="164" fontId="22" fillId="8" borderId="39" xfId="2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Border="1"/>
  </cellXfs>
  <cellStyles count="3">
    <cellStyle name="Alerte" xfId="1"/>
    <cellStyle name="alerte2" xfId="2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47FF"/>
      <rgbColor rgb="00CCCCFF"/>
      <rgbColor rgb="00000080"/>
      <rgbColor rgb="00FF00FF"/>
      <rgbColor rgb="00E6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66"/>
      <rgbColor rgb="0099CCFF"/>
      <rgbColor rgb="00FF9966"/>
      <rgbColor rgb="00CC99FF"/>
      <rgbColor rgb="00FFCC99"/>
      <rgbColor rgb="003366FF"/>
      <rgbColor rgb="003DEB3D"/>
      <rgbColor rgb="0094BD5E"/>
      <rgbColor rgb="00E6E64C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DC2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 enableFormatConditionsCalculation="0">
    <tabColor indexed="18"/>
  </sheetPr>
  <dimension ref="A1:O60"/>
  <sheetViews>
    <sheetView showGridLines="0" workbookViewId="0">
      <selection activeCell="G64" sqref="G64"/>
    </sheetView>
  </sheetViews>
  <sheetFormatPr defaultColWidth="11.7109375" defaultRowHeight="12.75"/>
  <cols>
    <col min="1" max="1" width="8.85546875" customWidth="1"/>
    <col min="2" max="2" width="15.28515625" customWidth="1"/>
    <col min="3" max="3" width="14.28515625" customWidth="1"/>
    <col min="4" max="4" width="11.140625" customWidth="1"/>
    <col min="5" max="5" width="9.7109375" customWidth="1"/>
    <col min="6" max="6" width="13.5703125" customWidth="1"/>
    <col min="7" max="7" width="12.42578125" customWidth="1"/>
    <col min="8" max="8" width="9.28515625" customWidth="1"/>
    <col min="9" max="9" width="9.85546875" customWidth="1"/>
    <col min="10" max="11" width="15.42578125" customWidth="1"/>
    <col min="12" max="12" width="14.85546875" customWidth="1"/>
    <col min="13" max="15" width="11.7109375" customWidth="1"/>
    <col min="16" max="16" width="12.7109375" customWidth="1"/>
  </cols>
  <sheetData>
    <row r="1" spans="1:15" ht="27.6" customHeight="1">
      <c r="A1" s="122" t="s">
        <v>11</v>
      </c>
      <c r="B1" s="123"/>
      <c r="C1" s="123"/>
      <c r="D1" s="123"/>
      <c r="E1" s="123"/>
      <c r="F1" s="123"/>
      <c r="G1" s="124"/>
      <c r="H1" s="84"/>
      <c r="I1" s="84"/>
      <c r="J1" s="119" t="s">
        <v>45</v>
      </c>
      <c r="K1" s="119"/>
      <c r="L1" s="120"/>
    </row>
    <row r="2" spans="1:15" ht="12.6" customHeight="1">
      <c r="A2" s="85"/>
      <c r="B2" s="125" t="s">
        <v>44</v>
      </c>
      <c r="C2" s="125"/>
      <c r="D2" s="125"/>
      <c r="E2" s="125"/>
      <c r="F2" s="125"/>
      <c r="G2" s="125"/>
      <c r="H2" s="23"/>
      <c r="I2" s="130" t="s">
        <v>40</v>
      </c>
      <c r="J2" s="130"/>
      <c r="K2" s="28">
        <v>179090</v>
      </c>
      <c r="L2" s="87">
        <f>K2/0.453</f>
        <v>395342.16335540835</v>
      </c>
    </row>
    <row r="3" spans="1:15">
      <c r="A3" s="88"/>
      <c r="B3" s="126"/>
      <c r="C3" s="126"/>
      <c r="D3" s="126"/>
      <c r="E3" s="126"/>
      <c r="F3" s="126"/>
      <c r="G3" s="126"/>
      <c r="H3" s="89"/>
      <c r="I3" s="130" t="s">
        <v>54</v>
      </c>
      <c r="J3" s="130"/>
      <c r="K3" s="74">
        <v>242671</v>
      </c>
      <c r="L3" s="90">
        <f>K3/0.453</f>
        <v>535697.57174392929</v>
      </c>
    </row>
    <row r="4" spans="1:15">
      <c r="A4" s="88"/>
      <c r="B4" s="91"/>
      <c r="C4" s="113" t="s">
        <v>15</v>
      </c>
      <c r="D4" s="113" t="s">
        <v>0</v>
      </c>
      <c r="E4" s="89"/>
      <c r="F4" s="94" t="s">
        <v>16</v>
      </c>
      <c r="G4" s="89"/>
      <c r="H4" s="89"/>
      <c r="I4" s="130" t="s">
        <v>42</v>
      </c>
      <c r="J4" s="130"/>
      <c r="K4" s="28">
        <v>398636</v>
      </c>
      <c r="L4" s="87">
        <f>K4/0.453</f>
        <v>879991.1699779249</v>
      </c>
    </row>
    <row r="5" spans="1:15">
      <c r="A5" s="88"/>
      <c r="B5" s="95" t="s">
        <v>50</v>
      </c>
      <c r="C5" s="96" t="s">
        <v>27</v>
      </c>
      <c r="D5" s="97">
        <v>0.8</v>
      </c>
      <c r="E5" s="89"/>
      <c r="F5" s="98">
        <v>45000</v>
      </c>
      <c r="G5" s="89"/>
      <c r="H5" s="89"/>
      <c r="I5" s="130" t="s">
        <v>41</v>
      </c>
      <c r="J5" s="130"/>
      <c r="K5" s="28">
        <v>285760</v>
      </c>
      <c r="L5" s="87">
        <f>K5/0.453</f>
        <v>630816.77704194258</v>
      </c>
    </row>
    <row r="6" spans="1:15">
      <c r="A6" s="88"/>
      <c r="B6" s="95" t="s">
        <v>30</v>
      </c>
      <c r="C6" s="96" t="s">
        <v>28</v>
      </c>
      <c r="D6" s="97">
        <v>0.86</v>
      </c>
      <c r="E6" s="121" t="s">
        <v>14</v>
      </c>
      <c r="F6" s="121"/>
      <c r="G6" s="121"/>
      <c r="H6" s="89"/>
      <c r="I6" s="127"/>
      <c r="J6" s="127"/>
      <c r="K6" s="28"/>
      <c r="L6" s="87"/>
    </row>
    <row r="7" spans="1:15">
      <c r="A7" s="88"/>
      <c r="B7" s="95" t="s">
        <v>32</v>
      </c>
      <c r="C7" s="99" t="s">
        <v>29</v>
      </c>
      <c r="D7" s="97">
        <v>0.8</v>
      </c>
      <c r="E7" s="89"/>
      <c r="F7" s="99">
        <v>416</v>
      </c>
      <c r="G7" s="89"/>
      <c r="H7" s="89"/>
      <c r="I7" s="89"/>
      <c r="J7" s="86"/>
      <c r="K7" s="28"/>
      <c r="L7" s="87"/>
    </row>
    <row r="8" spans="1:15" ht="13.5" thickBot="1">
      <c r="A8" s="100"/>
      <c r="B8" s="101"/>
      <c r="C8" s="102"/>
      <c r="D8" s="102"/>
      <c r="E8" s="101"/>
      <c r="F8" s="101"/>
      <c r="G8" s="101"/>
      <c r="H8" s="101"/>
      <c r="I8" s="101"/>
      <c r="J8" s="101"/>
      <c r="K8" s="103"/>
      <c r="L8" s="104"/>
    </row>
    <row r="9" spans="1:15" ht="18.75" customHeight="1">
      <c r="A9" s="128" t="s">
        <v>51</v>
      </c>
      <c r="B9" s="129"/>
      <c r="C9" s="129"/>
      <c r="D9" s="129"/>
      <c r="E9" s="129"/>
      <c r="F9" s="129"/>
      <c r="G9" s="129"/>
      <c r="H9" s="129"/>
      <c r="I9" s="129"/>
      <c r="J9" s="129" t="s">
        <v>26</v>
      </c>
      <c r="K9" s="129"/>
      <c r="L9" s="141"/>
    </row>
    <row r="10" spans="1:15">
      <c r="A10" s="29"/>
      <c r="B10" s="30" t="s">
        <v>12</v>
      </c>
      <c r="C10" s="83" t="s">
        <v>52</v>
      </c>
      <c r="D10" s="83" t="s">
        <v>53</v>
      </c>
      <c r="E10" s="27" t="s">
        <v>43</v>
      </c>
      <c r="F10" s="27" t="s">
        <v>1</v>
      </c>
      <c r="G10" s="27" t="s">
        <v>7</v>
      </c>
      <c r="H10" s="27" t="s">
        <v>8</v>
      </c>
      <c r="I10" s="27" t="s">
        <v>13</v>
      </c>
      <c r="J10" s="31"/>
      <c r="K10" s="32"/>
      <c r="L10" s="33"/>
    </row>
    <row r="11" spans="1:15">
      <c r="A11" s="114" t="s">
        <v>31</v>
      </c>
      <c r="B11" s="116"/>
      <c r="C11" s="55">
        <v>300</v>
      </c>
      <c r="D11" s="34">
        <f>C11-C21</f>
        <v>250</v>
      </c>
      <c r="E11" s="56">
        <v>0.10299999999999999</v>
      </c>
      <c r="F11" s="35">
        <f>(E11*D11)*100</f>
        <v>2575</v>
      </c>
      <c r="G11" s="36">
        <f>C17/((E11*60)*100)</f>
        <v>58.252427184466022</v>
      </c>
      <c r="H11" s="37">
        <f>(60/D11)*G11</f>
        <v>13.980582524271846</v>
      </c>
      <c r="I11" s="38">
        <f>VLOOKUP(C17,B26:E55,4)</f>
        <v>5690.3689320388348</v>
      </c>
      <c r="J11" s="39" t="s">
        <v>37</v>
      </c>
      <c r="K11" s="61">
        <f>G18*83</f>
        <v>23904</v>
      </c>
      <c r="L11" s="64">
        <f>K11/0.453</f>
        <v>52768.2119205298</v>
      </c>
    </row>
    <row r="12" spans="1:15" ht="13.5" thickBot="1">
      <c r="A12" s="114" t="s">
        <v>30</v>
      </c>
      <c r="B12" s="116"/>
      <c r="C12" s="55">
        <v>297</v>
      </c>
      <c r="D12" s="34">
        <f>(((C17/600)*0.0122)*C12)+C12-C21</f>
        <v>464.404</v>
      </c>
      <c r="E12" s="40"/>
      <c r="F12" s="35"/>
      <c r="G12" s="36">
        <f>C19-(G11+G13)</f>
        <v>1456.7173243459624</v>
      </c>
      <c r="H12" s="37">
        <f>(60/D12)*G12</f>
        <v>188.20475159722517</v>
      </c>
      <c r="I12" s="38">
        <f>VLOOKUP(C17,B28:C532,2)*H12</f>
        <v>31825.423495090774</v>
      </c>
      <c r="J12" s="41" t="s">
        <v>22</v>
      </c>
      <c r="K12" s="62">
        <f>G19+G20</f>
        <v>33600</v>
      </c>
      <c r="L12" s="157">
        <f>K12/0.453</f>
        <v>74172.185430463578</v>
      </c>
      <c r="N12" s="2"/>
      <c r="O12" s="2"/>
    </row>
    <row r="13" spans="1:15" ht="14.25" thickTop="1" thickBot="1">
      <c r="A13" s="114" t="s">
        <v>32</v>
      </c>
      <c r="B13" s="116"/>
      <c r="C13" s="55">
        <v>280</v>
      </c>
      <c r="D13" s="34">
        <f>C13-C21</f>
        <v>230</v>
      </c>
      <c r="E13" s="56">
        <v>5.5539999999999999E-2</v>
      </c>
      <c r="F13" s="35">
        <f>(E13*D13)*100</f>
        <v>1277.42</v>
      </c>
      <c r="G13" s="36">
        <f>C17/((E13*60)*100)</f>
        <v>108.03024846957148</v>
      </c>
      <c r="H13" s="37">
        <f>(60/D13)*G13</f>
        <v>28.181803948583863</v>
      </c>
      <c r="I13" s="38">
        <f>VLOOKUP(C17,B26:G532,6)</f>
        <v>1234.1281645817351</v>
      </c>
      <c r="J13" s="75" t="s">
        <v>23</v>
      </c>
      <c r="K13" s="156">
        <f>K2+K11+K12</f>
        <v>236594</v>
      </c>
      <c r="L13" s="168">
        <f>K13/0.453</f>
        <v>522282.56070640177</v>
      </c>
    </row>
    <row r="14" spans="1:15" ht="13.5" thickTop="1">
      <c r="A14" s="117"/>
      <c r="B14" s="118"/>
      <c r="C14" s="42"/>
      <c r="D14" s="43"/>
      <c r="E14" s="44"/>
      <c r="F14" s="45"/>
      <c r="G14" s="46"/>
      <c r="H14" s="47"/>
      <c r="I14" s="25"/>
      <c r="J14" s="41" t="s">
        <v>24</v>
      </c>
      <c r="K14" s="63">
        <f>IF((K13+K19+K20)&lt;K5,K13+K19+K20,"MLW!!")</f>
        <v>242594</v>
      </c>
      <c r="L14" s="64">
        <f>K14/0.453</f>
        <v>535527.59381898458</v>
      </c>
    </row>
    <row r="15" spans="1:15">
      <c r="A15" s="114" t="s">
        <v>34</v>
      </c>
      <c r="B15" s="115"/>
      <c r="C15" s="143" t="s">
        <v>49</v>
      </c>
      <c r="D15" s="143"/>
      <c r="E15" s="143"/>
      <c r="F15" s="144"/>
      <c r="G15" s="78">
        <v>100</v>
      </c>
      <c r="H15" s="76">
        <f>(60/D12)*G15</f>
        <v>12.919785359299233</v>
      </c>
      <c r="I15" s="77">
        <f>VLOOKUP(C17,B28:C52,2)*H15</f>
        <v>2184.7357042575004</v>
      </c>
      <c r="J15" s="26"/>
      <c r="K15" s="25"/>
      <c r="L15" s="48"/>
    </row>
    <row r="16" spans="1:15" ht="24" customHeight="1">
      <c r="A16" s="117"/>
      <c r="B16" s="118"/>
      <c r="C16" s="24"/>
      <c r="D16" s="24"/>
      <c r="E16" s="24"/>
      <c r="F16" s="24"/>
      <c r="G16" s="49"/>
      <c r="H16" s="50"/>
      <c r="I16" s="51"/>
      <c r="J16" s="139" t="s">
        <v>17</v>
      </c>
      <c r="K16" s="139"/>
      <c r="L16" s="140"/>
    </row>
    <row r="17" spans="1:12" ht="14.25" customHeight="1">
      <c r="A17" s="135" t="s">
        <v>33</v>
      </c>
      <c r="B17" s="136"/>
      <c r="C17" s="57">
        <v>36000</v>
      </c>
      <c r="D17" s="105">
        <f>C17*0.3048</f>
        <v>10972.800000000001</v>
      </c>
      <c r="E17" s="24"/>
      <c r="F17" s="24"/>
      <c r="G17" s="24"/>
      <c r="H17" s="24"/>
      <c r="I17" s="24"/>
      <c r="J17" s="139"/>
      <c r="K17" s="139"/>
      <c r="L17" s="140"/>
    </row>
    <row r="18" spans="1:12">
      <c r="A18" s="117"/>
      <c r="B18" s="118"/>
      <c r="C18" s="42"/>
      <c r="D18" s="106"/>
      <c r="E18" s="75"/>
      <c r="F18" s="75" t="s">
        <v>46</v>
      </c>
      <c r="G18" s="59">
        <v>288</v>
      </c>
      <c r="H18" s="24"/>
      <c r="I18" s="115" t="s">
        <v>18</v>
      </c>
      <c r="J18" s="116"/>
      <c r="K18" s="66">
        <v>1000</v>
      </c>
      <c r="L18" s="68">
        <f>K18/0.453</f>
        <v>2207.5055187637968</v>
      </c>
    </row>
    <row r="19" spans="1:12">
      <c r="A19" s="114" t="s">
        <v>21</v>
      </c>
      <c r="B19" s="116"/>
      <c r="C19" s="58">
        <v>1623</v>
      </c>
      <c r="D19" s="107">
        <f>C19*1.852</f>
        <v>3005.7960000000003</v>
      </c>
      <c r="E19" s="75"/>
      <c r="F19" s="75" t="s">
        <v>47</v>
      </c>
      <c r="G19" s="60">
        <v>5800</v>
      </c>
      <c r="H19" s="24"/>
      <c r="I19" s="115" t="s">
        <v>20</v>
      </c>
      <c r="J19" s="148"/>
      <c r="K19" s="22">
        <v>2000</v>
      </c>
      <c r="L19" s="69">
        <f>K19/0.453</f>
        <v>4415.0110375275935</v>
      </c>
    </row>
    <row r="20" spans="1:12">
      <c r="A20" s="117"/>
      <c r="B20" s="118"/>
      <c r="C20" s="24"/>
      <c r="D20" s="106"/>
      <c r="E20" s="75"/>
      <c r="F20" s="75" t="s">
        <v>48</v>
      </c>
      <c r="G20" s="60">
        <v>27800</v>
      </c>
      <c r="H20" s="24"/>
      <c r="I20" s="115" t="s">
        <v>19</v>
      </c>
      <c r="J20" s="115"/>
      <c r="K20" s="67">
        <v>4000</v>
      </c>
      <c r="L20" s="68">
        <f>K20/0.453</f>
        <v>8830.0220750551871</v>
      </c>
    </row>
    <row r="21" spans="1:12">
      <c r="A21" s="114" t="s">
        <v>35</v>
      </c>
      <c r="B21" s="116"/>
      <c r="C21" s="55">
        <v>50</v>
      </c>
      <c r="D21" s="108">
        <f>C21*1.852</f>
        <v>92.600000000000009</v>
      </c>
      <c r="E21" s="24"/>
      <c r="F21" s="24"/>
      <c r="G21" s="24"/>
      <c r="H21" s="24"/>
      <c r="I21" s="115" t="s">
        <v>38</v>
      </c>
      <c r="J21" s="115"/>
      <c r="K21" s="70">
        <f>IF((K4-K13)&lt;173474,K4-K13,173474)</f>
        <v>162042</v>
      </c>
      <c r="L21" s="71">
        <f>K21/0.453</f>
        <v>357708.60927152319</v>
      </c>
    </row>
    <row r="22" spans="1:12" ht="13.5" thickBot="1">
      <c r="A22" s="131" t="s">
        <v>36</v>
      </c>
      <c r="B22" s="132"/>
      <c r="C22" s="24"/>
      <c r="D22" s="24"/>
      <c r="E22" s="24"/>
      <c r="F22" s="24"/>
      <c r="G22" s="24"/>
      <c r="H22" s="24"/>
      <c r="I22" s="146"/>
      <c r="J22" s="146"/>
      <c r="K22" s="161"/>
      <c r="L22" s="163"/>
    </row>
    <row r="23" spans="1:12" ht="21" thickTop="1" thickBot="1">
      <c r="A23" s="133"/>
      <c r="B23" s="134"/>
      <c r="C23" s="145" t="str">
        <f>CONCATENATE("Время в полете - ",H60," час  ",J60," мин")</f>
        <v>Время в полете - 3 час  50 мин</v>
      </c>
      <c r="D23" s="145"/>
      <c r="E23" s="145"/>
      <c r="F23" s="145"/>
      <c r="G23" s="145"/>
      <c r="H23" s="147" t="s">
        <v>39</v>
      </c>
      <c r="I23" s="147"/>
      <c r="J23" s="150"/>
      <c r="K23" s="162">
        <f>IF(SUM(I11:I15,K18,K19,K20)&lt;K21,SUM(I11:I15,K18,K19,K20),"FUEL MAX!")</f>
        <v>47934.656295968845</v>
      </c>
      <c r="L23" s="52">
        <f>K23/0.453</f>
        <v>105816.01831339701</v>
      </c>
    </row>
    <row r="24" spans="1:12" ht="19.899999999999999" customHeight="1" thickTop="1" thickBot="1">
      <c r="A24" s="53"/>
      <c r="B24" s="54"/>
      <c r="C24" s="82"/>
      <c r="D24" s="54"/>
      <c r="E24" s="54"/>
      <c r="F24" s="54"/>
      <c r="G24" s="54"/>
      <c r="H24" s="54"/>
      <c r="I24" s="142" t="s">
        <v>9</v>
      </c>
      <c r="J24" s="142"/>
      <c r="K24" s="169">
        <f>IF((K13+K23)&lt;K4,K13+K23,"MTOW!!")</f>
        <v>284528.65629596886</v>
      </c>
      <c r="L24" s="153">
        <f>K24/0.453</f>
        <v>628098.57901979878</v>
      </c>
    </row>
    <row r="25" spans="1:12" ht="12.75" hidden="1" customHeight="1"/>
    <row r="26" spans="1:12" ht="12.75" hidden="1" customHeight="1">
      <c r="B26" s="3" t="s">
        <v>10</v>
      </c>
      <c r="C26" s="10" t="s">
        <v>2</v>
      </c>
      <c r="D26" s="137" t="s">
        <v>3</v>
      </c>
      <c r="E26" s="137"/>
      <c r="F26" s="138" t="s">
        <v>4</v>
      </c>
      <c r="G26" s="138"/>
    </row>
    <row r="27" spans="1:12" ht="12.75" hidden="1" customHeight="1">
      <c r="B27" s="5"/>
      <c r="C27" s="11" t="s">
        <v>5</v>
      </c>
      <c r="D27" s="13" t="s">
        <v>5</v>
      </c>
      <c r="E27" s="13" t="s">
        <v>6</v>
      </c>
      <c r="F27" s="6" t="s">
        <v>5</v>
      </c>
      <c r="G27" s="6" t="s">
        <v>6</v>
      </c>
    </row>
    <row r="28" spans="1:12" ht="12.75" hidden="1" customHeight="1">
      <c r="B28" s="7">
        <v>0</v>
      </c>
      <c r="C28" s="12"/>
      <c r="D28" s="14">
        <v>562.20000000000005</v>
      </c>
      <c r="E28" s="13"/>
      <c r="F28" s="8">
        <v>68.7</v>
      </c>
      <c r="G28" s="4"/>
    </row>
    <row r="29" spans="1:12" ht="12.75" hidden="1" customHeight="1">
      <c r="B29" s="7">
        <v>500</v>
      </c>
      <c r="C29" s="12"/>
      <c r="D29" s="14">
        <v>557.70000000000005</v>
      </c>
      <c r="E29" s="15">
        <f>((B29-B28)/$F$11)*D28</f>
        <v>109.16504854368932</v>
      </c>
      <c r="F29" s="8">
        <v>68.099999999999994</v>
      </c>
      <c r="G29" s="9">
        <f>((B29-B28)/$F$13)*F28</f>
        <v>26.890137934273771</v>
      </c>
    </row>
    <row r="30" spans="1:12" ht="12.75" hidden="1" customHeight="1">
      <c r="B30" s="7">
        <v>1000</v>
      </c>
      <c r="C30" s="12"/>
      <c r="D30" s="14">
        <v>553.1</v>
      </c>
      <c r="E30" s="15">
        <f t="shared" ref="E30:E55" si="0">(((B30-B29)/$F$11)*D29)+E29</f>
        <v>217.45631067961165</v>
      </c>
      <c r="F30" s="8">
        <v>67.599999999999994</v>
      </c>
      <c r="G30" s="9">
        <f t="shared" ref="G30:G55" si="1">(((B30-B29)/$F$13)*F29)+G29</f>
        <v>53.545427502309337</v>
      </c>
    </row>
    <row r="31" spans="1:12" ht="12.75" hidden="1" customHeight="1">
      <c r="B31" s="7">
        <v>1500</v>
      </c>
      <c r="C31" s="12"/>
      <c r="D31" s="14">
        <v>549</v>
      </c>
      <c r="E31" s="15">
        <f t="shared" si="0"/>
        <v>324.85436893203882</v>
      </c>
      <c r="F31" s="8">
        <v>67.2</v>
      </c>
      <c r="G31" s="9">
        <f t="shared" si="1"/>
        <v>80.005010098479744</v>
      </c>
    </row>
    <row r="32" spans="1:12" ht="12.75" hidden="1" customHeight="1">
      <c r="B32" s="7">
        <v>2000</v>
      </c>
      <c r="C32" s="12"/>
      <c r="D32" s="14">
        <v>544.4</v>
      </c>
      <c r="E32" s="15">
        <f t="shared" si="0"/>
        <v>431.45631067961165</v>
      </c>
      <c r="F32" s="8">
        <v>67</v>
      </c>
      <c r="G32" s="9">
        <f t="shared" si="1"/>
        <v>106.30802711715802</v>
      </c>
    </row>
    <row r="33" spans="2:7" ht="12.75" hidden="1" customHeight="1">
      <c r="B33" s="7">
        <v>3000</v>
      </c>
      <c r="C33" s="12">
        <v>150.69999999999999</v>
      </c>
      <c r="D33" s="14">
        <v>537.20000000000005</v>
      </c>
      <c r="E33" s="15">
        <f t="shared" si="0"/>
        <v>642.87378640776694</v>
      </c>
      <c r="F33" s="8">
        <v>65.900000000000006</v>
      </c>
      <c r="G33" s="9">
        <f t="shared" si="1"/>
        <v>158.75749557702244</v>
      </c>
    </row>
    <row r="34" spans="2:7" ht="12.75" hidden="1" customHeight="1">
      <c r="B34" s="7">
        <v>4000</v>
      </c>
      <c r="C34" s="12">
        <v>150.80000000000001</v>
      </c>
      <c r="D34" s="14">
        <v>531</v>
      </c>
      <c r="E34" s="15">
        <f t="shared" si="0"/>
        <v>851.495145631068</v>
      </c>
      <c r="F34" s="8">
        <v>64.8</v>
      </c>
      <c r="G34" s="9">
        <f t="shared" si="1"/>
        <v>210.34585336068014</v>
      </c>
    </row>
    <row r="35" spans="2:7" ht="12.75" hidden="1" customHeight="1">
      <c r="B35" s="7">
        <v>6000</v>
      </c>
      <c r="C35" s="12">
        <v>154.69999999999999</v>
      </c>
      <c r="D35" s="14">
        <v>513.29999999999995</v>
      </c>
      <c r="E35" s="15">
        <f t="shared" si="0"/>
        <v>1263.9223300970875</v>
      </c>
      <c r="F35" s="8">
        <v>62.5</v>
      </c>
      <c r="G35" s="9">
        <f t="shared" si="1"/>
        <v>311.80034757558207</v>
      </c>
    </row>
    <row r="36" spans="2:7" ht="12.75" hidden="1" customHeight="1">
      <c r="B36" s="7">
        <v>8000</v>
      </c>
      <c r="C36" s="12">
        <v>154.80000000000001</v>
      </c>
      <c r="D36" s="14">
        <v>494.9</v>
      </c>
      <c r="E36" s="15">
        <f t="shared" si="0"/>
        <v>1662.6019417475729</v>
      </c>
      <c r="F36" s="8">
        <v>60.6</v>
      </c>
      <c r="G36" s="9">
        <f t="shared" si="1"/>
        <v>409.65383350816489</v>
      </c>
    </row>
    <row r="37" spans="2:7" ht="12.75" hidden="1" customHeight="1">
      <c r="B37" s="7">
        <v>10000</v>
      </c>
      <c r="C37" s="12">
        <v>154.9</v>
      </c>
      <c r="D37" s="14">
        <v>476.4</v>
      </c>
      <c r="E37" s="15">
        <f t="shared" si="0"/>
        <v>2046.990291262136</v>
      </c>
      <c r="F37" s="8">
        <v>58.3</v>
      </c>
      <c r="G37" s="9">
        <f t="shared" si="1"/>
        <v>504.53257346839723</v>
      </c>
    </row>
    <row r="38" spans="2:7" ht="12.75" hidden="1" customHeight="1">
      <c r="B38" s="7">
        <v>12000</v>
      </c>
      <c r="C38" s="12">
        <v>155</v>
      </c>
      <c r="D38" s="14">
        <v>466.2</v>
      </c>
      <c r="E38" s="15">
        <f t="shared" si="0"/>
        <v>2417.009708737864</v>
      </c>
      <c r="F38" s="8">
        <v>56.4</v>
      </c>
      <c r="G38" s="9">
        <f t="shared" si="1"/>
        <v>595.8103051463105</v>
      </c>
    </row>
    <row r="39" spans="2:7" ht="12.75" hidden="1" customHeight="1">
      <c r="B39" s="7">
        <v>14000</v>
      </c>
      <c r="C39" s="12">
        <v>155.19999999999999</v>
      </c>
      <c r="D39" s="14">
        <v>447.5</v>
      </c>
      <c r="E39" s="15">
        <f t="shared" si="0"/>
        <v>2779.1067961165049</v>
      </c>
      <c r="F39" s="8">
        <v>54.1</v>
      </c>
      <c r="G39" s="9">
        <f t="shared" si="1"/>
        <v>684.11329085187322</v>
      </c>
    </row>
    <row r="40" spans="2:7" ht="12.75" hidden="1" customHeight="1">
      <c r="B40" s="7">
        <v>16000</v>
      </c>
      <c r="C40" s="12">
        <v>204.9</v>
      </c>
      <c r="D40" s="14">
        <v>428.8</v>
      </c>
      <c r="E40" s="15">
        <f t="shared" si="0"/>
        <v>3126.6796116504856</v>
      </c>
      <c r="F40" s="8">
        <v>51.9</v>
      </c>
      <c r="G40" s="9">
        <f t="shared" si="1"/>
        <v>768.81526827511698</v>
      </c>
    </row>
    <row r="41" spans="2:7" ht="12.75" hidden="1" customHeight="1">
      <c r="B41" s="7">
        <v>18000</v>
      </c>
      <c r="C41" s="12">
        <v>204.2</v>
      </c>
      <c r="D41" s="14">
        <v>409.9</v>
      </c>
      <c r="E41" s="15">
        <f t="shared" si="0"/>
        <v>3459.7281553398061</v>
      </c>
      <c r="F41" s="8">
        <v>49.6</v>
      </c>
      <c r="G41" s="9">
        <f t="shared" si="1"/>
        <v>850.07280299353374</v>
      </c>
    </row>
    <row r="42" spans="2:7" ht="12.75" hidden="1" customHeight="1">
      <c r="B42" s="7">
        <v>20000</v>
      </c>
      <c r="C42" s="12">
        <v>203.4</v>
      </c>
      <c r="D42" s="14">
        <v>391.1</v>
      </c>
      <c r="E42" s="15">
        <f t="shared" si="0"/>
        <v>3778.0970873786409</v>
      </c>
      <c r="F42" s="8">
        <v>30.8</v>
      </c>
      <c r="G42" s="9">
        <f t="shared" si="1"/>
        <v>927.72932942963155</v>
      </c>
    </row>
    <row r="43" spans="2:7" ht="12.75" hidden="1" customHeight="1">
      <c r="B43" s="7">
        <v>22000</v>
      </c>
      <c r="C43" s="12">
        <v>202.5</v>
      </c>
      <c r="D43" s="14">
        <v>372.2</v>
      </c>
      <c r="E43" s="15">
        <f t="shared" si="0"/>
        <v>4081.8640776699031</v>
      </c>
      <c r="F43" s="8">
        <v>29.3</v>
      </c>
      <c r="G43" s="9">
        <f t="shared" si="1"/>
        <v>975.95152729720837</v>
      </c>
    </row>
    <row r="44" spans="2:7" ht="12.75" hidden="1" customHeight="1">
      <c r="B44" s="7">
        <v>24000</v>
      </c>
      <c r="C44" s="12">
        <v>201.6</v>
      </c>
      <c r="D44" s="14">
        <v>353.2</v>
      </c>
      <c r="E44" s="15">
        <f t="shared" si="0"/>
        <v>4370.9514563106795</v>
      </c>
      <c r="F44" s="8">
        <v>27.8</v>
      </c>
      <c r="G44" s="9">
        <f t="shared" si="1"/>
        <v>1021.8252415024032</v>
      </c>
    </row>
    <row r="45" spans="2:7" ht="12.75" hidden="1" customHeight="1">
      <c r="B45" s="7">
        <v>26000</v>
      </c>
      <c r="C45" s="12">
        <v>200.6</v>
      </c>
      <c r="D45" s="14">
        <v>334.1</v>
      </c>
      <c r="E45" s="15">
        <f t="shared" si="0"/>
        <v>4645.2815533980583</v>
      </c>
      <c r="F45" s="8">
        <v>26.3</v>
      </c>
      <c r="G45" s="9">
        <f t="shared" si="1"/>
        <v>1065.3504720452161</v>
      </c>
    </row>
    <row r="46" spans="2:7" ht="12.75" hidden="1" customHeight="1">
      <c r="B46" s="7">
        <v>28000</v>
      </c>
      <c r="C46" s="12">
        <v>198.8</v>
      </c>
      <c r="D46" s="14">
        <v>314.89999999999998</v>
      </c>
      <c r="E46" s="15">
        <f t="shared" si="0"/>
        <v>4904.7766990291266</v>
      </c>
      <c r="F46" s="8">
        <v>24.8</v>
      </c>
      <c r="G46" s="9">
        <f t="shared" si="1"/>
        <v>1106.527218925647</v>
      </c>
    </row>
    <row r="47" spans="2:7" ht="12.75" hidden="1" customHeight="1">
      <c r="B47" s="7">
        <v>29000</v>
      </c>
      <c r="C47" s="12">
        <v>193.5</v>
      </c>
      <c r="D47" s="14">
        <v>304.8</v>
      </c>
      <c r="E47" s="15">
        <f t="shared" si="0"/>
        <v>5027.0679611650485</v>
      </c>
      <c r="F47" s="8">
        <v>24.1</v>
      </c>
      <c r="G47" s="9">
        <f t="shared" si="1"/>
        <v>1125.9413505346715</v>
      </c>
    </row>
    <row r="48" spans="2:7" ht="12.75" hidden="1" customHeight="1">
      <c r="B48" s="7">
        <v>31000</v>
      </c>
      <c r="C48" s="12">
        <v>184</v>
      </c>
      <c r="D48" s="14">
        <v>284.7</v>
      </c>
      <c r="E48" s="15">
        <f t="shared" si="0"/>
        <v>5263.8058252427181</v>
      </c>
      <c r="F48" s="8">
        <v>23</v>
      </c>
      <c r="G48" s="9">
        <f t="shared" si="1"/>
        <v>1163.6736547102755</v>
      </c>
    </row>
    <row r="49" spans="1:10" ht="12.75" hidden="1" customHeight="1">
      <c r="B49" s="7">
        <v>33000</v>
      </c>
      <c r="C49" s="12">
        <v>175.8</v>
      </c>
      <c r="D49" s="14">
        <v>264.5</v>
      </c>
      <c r="E49" s="15">
        <f t="shared" si="0"/>
        <v>5484.9320388349515</v>
      </c>
      <c r="F49" s="8">
        <v>22</v>
      </c>
      <c r="G49" s="9">
        <f t="shared" si="1"/>
        <v>1199.683737533466</v>
      </c>
    </row>
    <row r="50" spans="1:10" ht="12.75" hidden="1" customHeight="1">
      <c r="B50" s="7">
        <v>35000</v>
      </c>
      <c r="C50" s="12">
        <v>169.1</v>
      </c>
      <c r="D50" s="14">
        <v>244.4</v>
      </c>
      <c r="E50" s="15">
        <f t="shared" si="0"/>
        <v>5690.3689320388348</v>
      </c>
      <c r="F50" s="8">
        <v>21</v>
      </c>
      <c r="G50" s="9">
        <f t="shared" si="1"/>
        <v>1234.1281645817351</v>
      </c>
    </row>
    <row r="51" spans="1:10" ht="12.75" hidden="1" customHeight="1">
      <c r="B51" s="7">
        <v>37000</v>
      </c>
      <c r="C51" s="12">
        <v>163.9</v>
      </c>
      <c r="D51" s="14">
        <v>224.4</v>
      </c>
      <c r="E51" s="15">
        <f t="shared" si="0"/>
        <v>5880.1941747572819</v>
      </c>
      <c r="F51" s="8">
        <v>19.899999999999999</v>
      </c>
      <c r="G51" s="9">
        <f t="shared" si="1"/>
        <v>1267.0069358550829</v>
      </c>
    </row>
    <row r="52" spans="1:10" ht="12.75" hidden="1" customHeight="1">
      <c r="B52" s="7">
        <v>39000</v>
      </c>
      <c r="C52" s="12">
        <v>160.19999999999999</v>
      </c>
      <c r="D52" s="14">
        <v>204.5</v>
      </c>
      <c r="E52" s="15">
        <f t="shared" si="0"/>
        <v>6054.4854368932038</v>
      </c>
      <c r="F52" s="8">
        <v>18.899999999999999</v>
      </c>
      <c r="G52" s="9">
        <f t="shared" si="1"/>
        <v>1298.1634857760173</v>
      </c>
    </row>
    <row r="53" spans="1:10" ht="12.75" hidden="1" customHeight="1">
      <c r="A53" s="1"/>
      <c r="B53" s="16">
        <v>41000</v>
      </c>
      <c r="C53" s="17">
        <v>157.6</v>
      </c>
      <c r="D53" s="19">
        <v>184.6</v>
      </c>
      <c r="E53" s="15">
        <f t="shared" si="0"/>
        <v>6213.3203883495144</v>
      </c>
      <c r="F53" s="18">
        <v>17.899999999999999</v>
      </c>
      <c r="G53" s="9">
        <f t="shared" si="1"/>
        <v>1327.7543799220302</v>
      </c>
    </row>
    <row r="54" spans="1:10" ht="12.75" hidden="1" customHeight="1">
      <c r="B54" s="16">
        <v>43000</v>
      </c>
      <c r="C54" s="17">
        <v>140.69999999999999</v>
      </c>
      <c r="D54" s="19">
        <v>164.7</v>
      </c>
      <c r="E54" s="15">
        <f t="shared" si="0"/>
        <v>6356.6990291262136</v>
      </c>
      <c r="F54" s="18">
        <v>16.899999999999999</v>
      </c>
      <c r="G54" s="9">
        <f t="shared" si="1"/>
        <v>1355.779618293122</v>
      </c>
    </row>
    <row r="55" spans="1:10" ht="12.75" hidden="1" customHeight="1">
      <c r="B55" s="16">
        <v>45000</v>
      </c>
      <c r="C55" s="17">
        <v>123.7</v>
      </c>
      <c r="D55" s="19">
        <v>144.80000000000001</v>
      </c>
      <c r="E55" s="15">
        <f t="shared" si="0"/>
        <v>6484.6213592233007</v>
      </c>
      <c r="F55" s="18">
        <v>15.8</v>
      </c>
      <c r="G55" s="9">
        <f t="shared" si="1"/>
        <v>1382.2392008892923</v>
      </c>
    </row>
    <row r="56" spans="1:10" ht="12.75" hidden="1" customHeight="1"/>
    <row r="57" spans="1:10" ht="12.75" hidden="1" customHeight="1"/>
    <row r="58" spans="1:10" ht="12.75" hidden="1" customHeight="1"/>
    <row r="59" spans="1:10" ht="12.75" hidden="1" customHeight="1"/>
    <row r="60" spans="1:10" ht="12.75" hidden="1" customHeight="1">
      <c r="H60" s="21">
        <f>INT((H11+H13+H12)/60)</f>
        <v>3</v>
      </c>
      <c r="I60" s="20">
        <f>((H11+H12+H13)/60)-H60</f>
        <v>0.83945230116801506</v>
      </c>
      <c r="J60" s="21">
        <f>INT(I60*60)</f>
        <v>50</v>
      </c>
    </row>
  </sheetData>
  <mergeCells count="37">
    <mergeCell ref="D26:E26"/>
    <mergeCell ref="F26:G26"/>
    <mergeCell ref="J16:L16"/>
    <mergeCell ref="J9:L9"/>
    <mergeCell ref="I24:J24"/>
    <mergeCell ref="C15:F15"/>
    <mergeCell ref="C23:G23"/>
    <mergeCell ref="I22:J22"/>
    <mergeCell ref="H23:J23"/>
    <mergeCell ref="I18:J18"/>
    <mergeCell ref="I21:J21"/>
    <mergeCell ref="J17:L17"/>
    <mergeCell ref="I19:J19"/>
    <mergeCell ref="I20:J20"/>
    <mergeCell ref="A22:B22"/>
    <mergeCell ref="A23:B23"/>
    <mergeCell ref="A17:B17"/>
    <mergeCell ref="A18:B18"/>
    <mergeCell ref="A19:B19"/>
    <mergeCell ref="A21:B21"/>
    <mergeCell ref="A20:B20"/>
    <mergeCell ref="J1:L1"/>
    <mergeCell ref="E6:G6"/>
    <mergeCell ref="A1:G1"/>
    <mergeCell ref="A11:B11"/>
    <mergeCell ref="B2:G3"/>
    <mergeCell ref="I6:J6"/>
    <mergeCell ref="A9:I9"/>
    <mergeCell ref="I3:J3"/>
    <mergeCell ref="I4:J4"/>
    <mergeCell ref="I5:J5"/>
    <mergeCell ref="I2:J2"/>
    <mergeCell ref="A15:B15"/>
    <mergeCell ref="A12:B12"/>
    <mergeCell ref="A13:B13"/>
    <mergeCell ref="A14:B14"/>
    <mergeCell ref="A16:B16"/>
  </mergeCells>
  <phoneticPr fontId="0" type="noConversion"/>
  <conditionalFormatting sqref="K20 K24">
    <cfRule type="cellIs" priority="4" stopIfTrue="1" operator="equal">
      <formula>0</formula>
    </cfRule>
  </conditionalFormatting>
  <pageMargins left="0.78749999999999998" right="0.78749999999999998" top="0.78749999999999998" bottom="0.78749999999999998" header="9.8611111111111122E-2" footer="9.8611111111111122E-2"/>
  <pageSetup paperSize="9" fitToHeight="0" orientation="portrait" horizontalDpi="300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 enableFormatConditionsCalculation="0">
    <tabColor indexed="12"/>
  </sheetPr>
  <dimension ref="A1:O70"/>
  <sheetViews>
    <sheetView showGridLines="0" workbookViewId="0">
      <selection activeCell="G70" sqref="G70"/>
    </sheetView>
  </sheetViews>
  <sheetFormatPr defaultColWidth="11.7109375" defaultRowHeight="12.75"/>
  <cols>
    <col min="1" max="1" width="8.85546875" customWidth="1"/>
    <col min="2" max="2" width="15.28515625" customWidth="1"/>
    <col min="3" max="3" width="14.28515625" customWidth="1"/>
    <col min="4" max="4" width="11.140625" customWidth="1"/>
    <col min="5" max="5" width="9.7109375" customWidth="1"/>
    <col min="6" max="6" width="13.5703125" customWidth="1"/>
    <col min="7" max="7" width="12.42578125" customWidth="1"/>
    <col min="8" max="8" width="9.28515625" customWidth="1"/>
    <col min="9" max="9" width="9.85546875" customWidth="1"/>
    <col min="10" max="11" width="15.42578125" customWidth="1"/>
    <col min="12" max="12" width="14.85546875" customWidth="1"/>
    <col min="13" max="15" width="11.7109375" customWidth="1"/>
    <col min="16" max="16" width="12.7109375" customWidth="1"/>
  </cols>
  <sheetData>
    <row r="1" spans="1:15" ht="27.6" customHeight="1">
      <c r="A1" s="122" t="s">
        <v>25</v>
      </c>
      <c r="B1" s="123"/>
      <c r="C1" s="123"/>
      <c r="D1" s="123"/>
      <c r="E1" s="123"/>
      <c r="F1" s="123"/>
      <c r="G1" s="124"/>
      <c r="H1" s="84"/>
      <c r="I1" s="84"/>
      <c r="J1" s="119" t="s">
        <v>45</v>
      </c>
      <c r="K1" s="119"/>
      <c r="L1" s="120"/>
    </row>
    <row r="2" spans="1:15" ht="12.6" customHeight="1">
      <c r="A2" s="85"/>
      <c r="B2" s="125" t="s">
        <v>44</v>
      </c>
      <c r="C2" s="125"/>
      <c r="D2" s="125"/>
      <c r="E2" s="125"/>
      <c r="F2" s="125"/>
      <c r="G2" s="125"/>
      <c r="H2" s="23"/>
      <c r="I2" s="130" t="s">
        <v>40</v>
      </c>
      <c r="J2" s="130"/>
      <c r="K2" s="28">
        <v>165393</v>
      </c>
      <c r="L2" s="87">
        <f>K2/0.453</f>
        <v>365105.96026490064</v>
      </c>
    </row>
    <row r="3" spans="1:15">
      <c r="A3" s="88"/>
      <c r="B3" s="126"/>
      <c r="C3" s="126"/>
      <c r="D3" s="126"/>
      <c r="E3" s="126"/>
      <c r="F3" s="126"/>
      <c r="G3" s="126"/>
      <c r="H3" s="89"/>
      <c r="I3" s="130" t="s">
        <v>54</v>
      </c>
      <c r="J3" s="130"/>
      <c r="K3" s="74">
        <v>288113</v>
      </c>
      <c r="L3" s="90">
        <f>K3/0.453</f>
        <v>636011.03752759378</v>
      </c>
    </row>
    <row r="4" spans="1:15">
      <c r="A4" s="88"/>
      <c r="B4" s="91"/>
      <c r="C4" s="92" t="s">
        <v>15</v>
      </c>
      <c r="D4" s="93" t="s">
        <v>0</v>
      </c>
      <c r="E4" s="89"/>
      <c r="F4" s="94" t="s">
        <v>16</v>
      </c>
      <c r="G4" s="89"/>
      <c r="H4" s="89"/>
      <c r="I4" s="130" t="s">
        <v>42</v>
      </c>
      <c r="J4" s="130"/>
      <c r="K4" s="28">
        <v>397005</v>
      </c>
      <c r="L4" s="87">
        <f>K4/0.453</f>
        <v>876390.72847682121</v>
      </c>
    </row>
    <row r="5" spans="1:15">
      <c r="A5" s="88"/>
      <c r="B5" s="95" t="s">
        <v>50</v>
      </c>
      <c r="C5" s="96" t="s">
        <v>27</v>
      </c>
      <c r="D5" s="97">
        <v>0.8</v>
      </c>
      <c r="E5" s="89"/>
      <c r="F5" s="98">
        <v>45000</v>
      </c>
      <c r="G5" s="89"/>
      <c r="H5" s="89"/>
      <c r="I5" s="130" t="s">
        <v>41</v>
      </c>
      <c r="J5" s="130"/>
      <c r="K5" s="28">
        <v>285760</v>
      </c>
      <c r="L5" s="87">
        <f>K5/0.453</f>
        <v>630816.77704194258</v>
      </c>
    </row>
    <row r="6" spans="1:15">
      <c r="A6" s="88"/>
      <c r="B6" s="95" t="s">
        <v>30</v>
      </c>
      <c r="C6" s="96" t="s">
        <v>28</v>
      </c>
      <c r="D6" s="97">
        <v>0.86</v>
      </c>
      <c r="E6" s="121"/>
      <c r="F6" s="121"/>
      <c r="G6" s="121"/>
      <c r="H6" s="89"/>
      <c r="I6" s="127"/>
      <c r="J6" s="127"/>
      <c r="K6" s="28"/>
      <c r="L6" s="87"/>
    </row>
    <row r="7" spans="1:15">
      <c r="A7" s="88"/>
      <c r="B7" s="95" t="s">
        <v>32</v>
      </c>
      <c r="C7" s="99" t="s">
        <v>29</v>
      </c>
      <c r="D7" s="97">
        <v>0.8</v>
      </c>
      <c r="E7" s="89"/>
      <c r="F7" s="99"/>
      <c r="G7" s="89"/>
      <c r="H7" s="89"/>
      <c r="I7" s="89"/>
      <c r="J7" s="86"/>
      <c r="K7" s="28"/>
      <c r="L7" s="87"/>
    </row>
    <row r="8" spans="1:15" ht="13.5" thickBot="1">
      <c r="A8" s="100"/>
      <c r="B8" s="101"/>
      <c r="C8" s="102"/>
      <c r="D8" s="102"/>
      <c r="E8" s="101"/>
      <c r="F8" s="101"/>
      <c r="G8" s="101"/>
      <c r="H8" s="101"/>
      <c r="I8" s="101"/>
      <c r="J8" s="101"/>
      <c r="K8" s="103"/>
      <c r="L8" s="104"/>
    </row>
    <row r="9" spans="1:15" ht="18.75" customHeight="1">
      <c r="A9" s="128" t="s">
        <v>51</v>
      </c>
      <c r="B9" s="129"/>
      <c r="C9" s="129"/>
      <c r="D9" s="129"/>
      <c r="E9" s="129"/>
      <c r="F9" s="129"/>
      <c r="G9" s="129"/>
      <c r="H9" s="129"/>
      <c r="I9" s="129"/>
      <c r="J9" s="129" t="s">
        <v>26</v>
      </c>
      <c r="K9" s="129"/>
      <c r="L9" s="141"/>
    </row>
    <row r="10" spans="1:15">
      <c r="A10" s="29"/>
      <c r="B10" s="30" t="s">
        <v>12</v>
      </c>
      <c r="C10" s="83" t="s">
        <v>52</v>
      </c>
      <c r="D10" s="83" t="s">
        <v>53</v>
      </c>
      <c r="E10" s="27" t="s">
        <v>43</v>
      </c>
      <c r="F10" s="27" t="s">
        <v>1</v>
      </c>
      <c r="G10" s="27" t="s">
        <v>7</v>
      </c>
      <c r="H10" s="27" t="s">
        <v>8</v>
      </c>
      <c r="I10" s="27" t="s">
        <v>13</v>
      </c>
      <c r="J10" s="31"/>
      <c r="K10" s="32"/>
      <c r="L10" s="33"/>
    </row>
    <row r="11" spans="1:15">
      <c r="A11" s="114" t="s">
        <v>31</v>
      </c>
      <c r="B11" s="116"/>
      <c r="C11" s="55">
        <v>300</v>
      </c>
      <c r="D11" s="34">
        <f>C11-C21</f>
        <v>290</v>
      </c>
      <c r="E11" s="56">
        <v>8.6199999999999999E-2</v>
      </c>
      <c r="F11" s="35">
        <f>(E11*D11)*100</f>
        <v>2499.8000000000002</v>
      </c>
      <c r="G11" s="36">
        <f>C17/((E11*60)*100)</f>
        <v>63.99845320959011</v>
      </c>
      <c r="H11" s="37">
        <f>(60/D11)*G11</f>
        <v>13.24105928474278</v>
      </c>
      <c r="I11" s="38">
        <f>VLOOKUP(C17,B26:E55,4)</f>
        <v>5649.9319945595635</v>
      </c>
      <c r="J11" s="39" t="s">
        <v>22</v>
      </c>
      <c r="K11" s="81">
        <v>60000</v>
      </c>
      <c r="L11" s="64">
        <f>K11/0.453</f>
        <v>132450.3311258278</v>
      </c>
    </row>
    <row r="12" spans="1:15" ht="13.5" thickBot="1">
      <c r="A12" s="114" t="s">
        <v>30</v>
      </c>
      <c r="B12" s="116"/>
      <c r="C12" s="55">
        <v>297</v>
      </c>
      <c r="D12" s="34">
        <f>(((C17/600)*0.0122)*C12)+C12-C21</f>
        <v>486.89089999999999</v>
      </c>
      <c r="E12" s="40"/>
      <c r="F12" s="35"/>
      <c r="G12" s="36">
        <f>C19-(G11+G13)</f>
        <v>1232.6737350031094</v>
      </c>
      <c r="H12" s="37">
        <f>(60/D12)*G12</f>
        <v>151.9034841279362</v>
      </c>
      <c r="I12" s="38">
        <f>VLOOKUP(C17,B28:C532,2)*H12</f>
        <v>26704.632509691186</v>
      </c>
      <c r="J12" s="41"/>
      <c r="K12" s="155"/>
      <c r="L12" s="157"/>
      <c r="N12" s="2"/>
      <c r="O12" s="2"/>
    </row>
    <row r="13" spans="1:15" ht="14.25" thickTop="1" thickBot="1">
      <c r="A13" s="114" t="s">
        <v>32</v>
      </c>
      <c r="B13" s="116"/>
      <c r="C13" s="55">
        <v>280</v>
      </c>
      <c r="D13" s="34">
        <f>C13-C21</f>
        <v>270</v>
      </c>
      <c r="E13" s="56">
        <v>5.5539999999999999E-2</v>
      </c>
      <c r="F13" s="35">
        <f>(E13*D13)*100</f>
        <v>1499.58</v>
      </c>
      <c r="G13" s="36">
        <f>C17/((E13*60)*100)</f>
        <v>99.327811787300448</v>
      </c>
      <c r="H13" s="37">
        <f>(60/D13)*G13</f>
        <v>22.072847063844542</v>
      </c>
      <c r="I13" s="38">
        <f>VLOOKUP(C17,B26:G532,6)</f>
        <v>1021.9528134544337</v>
      </c>
      <c r="J13" s="41" t="s">
        <v>23</v>
      </c>
      <c r="K13" s="156">
        <f>K2+K11+K12</f>
        <v>225393</v>
      </c>
      <c r="L13" s="64">
        <f>K13/0.453</f>
        <v>497556.29139072844</v>
      </c>
    </row>
    <row r="14" spans="1:15" ht="13.5" thickTop="1">
      <c r="A14" s="117"/>
      <c r="B14" s="118"/>
      <c r="C14" s="42"/>
      <c r="D14" s="43"/>
      <c r="E14" s="44"/>
      <c r="F14" s="45"/>
      <c r="G14" s="46"/>
      <c r="H14" s="47"/>
      <c r="I14" s="25"/>
      <c r="J14" s="41" t="s">
        <v>24</v>
      </c>
      <c r="K14" s="154">
        <f>IF((K13+K19+K20)&lt;K5,K13+K19+K20,"MLW!!")</f>
        <v>231393</v>
      </c>
      <c r="L14" s="158">
        <f>K14/0.453</f>
        <v>510801.32450331125</v>
      </c>
    </row>
    <row r="15" spans="1:15">
      <c r="A15" s="114" t="s">
        <v>34</v>
      </c>
      <c r="B15" s="115"/>
      <c r="C15" s="143" t="s">
        <v>49</v>
      </c>
      <c r="D15" s="143"/>
      <c r="E15" s="143"/>
      <c r="F15" s="144"/>
      <c r="G15" s="78">
        <v>200</v>
      </c>
      <c r="H15" s="76">
        <f>(60/D12)*G15</f>
        <v>24.646178435456488</v>
      </c>
      <c r="I15" s="77">
        <f>VLOOKUP(C17,B28:C52,2)*H15</f>
        <v>4332.7981689532508</v>
      </c>
      <c r="J15" s="26"/>
      <c r="K15" s="25"/>
      <c r="L15" s="48"/>
    </row>
    <row r="16" spans="1:15" ht="24" customHeight="1">
      <c r="A16" s="117"/>
      <c r="B16" s="118"/>
      <c r="C16" s="24"/>
      <c r="D16" s="24"/>
      <c r="E16" s="24"/>
      <c r="F16" s="24"/>
      <c r="G16" s="49"/>
      <c r="H16" s="50"/>
      <c r="I16" s="51"/>
      <c r="J16" s="139" t="s">
        <v>17</v>
      </c>
      <c r="K16" s="139"/>
      <c r="L16" s="140"/>
    </row>
    <row r="17" spans="1:12" ht="14.25" customHeight="1">
      <c r="A17" s="135" t="s">
        <v>33</v>
      </c>
      <c r="B17" s="136"/>
      <c r="C17" s="57">
        <v>33100</v>
      </c>
      <c r="D17" s="109">
        <f>C17*0.3048</f>
        <v>10088.880000000001</v>
      </c>
      <c r="E17" s="24"/>
      <c r="F17" s="24"/>
      <c r="G17" s="24"/>
      <c r="H17" s="24"/>
      <c r="I17" s="24"/>
      <c r="J17" s="139"/>
      <c r="K17" s="139"/>
      <c r="L17" s="140"/>
    </row>
    <row r="18" spans="1:12">
      <c r="A18" s="117"/>
      <c r="B18" s="118"/>
      <c r="C18" s="42"/>
      <c r="D18" s="110"/>
      <c r="E18" s="75"/>
      <c r="F18" s="79"/>
      <c r="G18" s="24"/>
      <c r="H18" s="24"/>
      <c r="I18" s="115" t="s">
        <v>18</v>
      </c>
      <c r="J18" s="116"/>
      <c r="K18" s="66">
        <v>1000</v>
      </c>
      <c r="L18" s="68">
        <f>K18/0.453</f>
        <v>2207.5055187637968</v>
      </c>
    </row>
    <row r="19" spans="1:12">
      <c r="A19" s="114" t="s">
        <v>21</v>
      </c>
      <c r="B19" s="116"/>
      <c r="C19" s="58">
        <v>1396</v>
      </c>
      <c r="D19" s="111">
        <f>C19*1.852</f>
        <v>2585.3920000000003</v>
      </c>
      <c r="E19" s="75"/>
      <c r="F19" s="80"/>
      <c r="G19" s="24"/>
      <c r="H19" s="24"/>
      <c r="I19" s="115" t="s">
        <v>20</v>
      </c>
      <c r="J19" s="148"/>
      <c r="K19" s="22">
        <v>2000</v>
      </c>
      <c r="L19" s="69">
        <f>K19/0.453</f>
        <v>4415.0110375275935</v>
      </c>
    </row>
    <row r="20" spans="1:12">
      <c r="A20" s="117"/>
      <c r="B20" s="118"/>
      <c r="C20" s="24"/>
      <c r="D20" s="110"/>
      <c r="E20" s="75"/>
      <c r="F20" s="80"/>
      <c r="G20" s="24"/>
      <c r="H20" s="24"/>
      <c r="I20" s="115" t="s">
        <v>19</v>
      </c>
      <c r="J20" s="115"/>
      <c r="K20" s="67">
        <v>4000</v>
      </c>
      <c r="L20" s="68">
        <f>K20/0.453</f>
        <v>8830.0220750551871</v>
      </c>
    </row>
    <row r="21" spans="1:12">
      <c r="A21" s="114" t="s">
        <v>35</v>
      </c>
      <c r="B21" s="116"/>
      <c r="C21" s="55">
        <v>10</v>
      </c>
      <c r="D21" s="112">
        <f>C21*1.852</f>
        <v>18.52</v>
      </c>
      <c r="E21" s="24"/>
      <c r="F21" s="24"/>
      <c r="G21" s="24"/>
      <c r="H21" s="24"/>
      <c r="I21" s="115" t="s">
        <v>38</v>
      </c>
      <c r="J21" s="115"/>
      <c r="K21" s="70">
        <f>IF((K4-K13)&lt;173474,K4-K13,173474)</f>
        <v>171612</v>
      </c>
      <c r="L21" s="71">
        <f>K21/0.453</f>
        <v>378834.43708609272</v>
      </c>
    </row>
    <row r="22" spans="1:12" ht="13.5" thickBot="1">
      <c r="A22" s="131" t="s">
        <v>36</v>
      </c>
      <c r="B22" s="132"/>
      <c r="C22" s="24"/>
      <c r="D22" s="24"/>
      <c r="E22" s="24"/>
      <c r="F22" s="24"/>
      <c r="G22" s="24"/>
      <c r="H22" s="24"/>
      <c r="I22" s="146"/>
      <c r="J22" s="146"/>
      <c r="K22" s="24"/>
      <c r="L22" s="33"/>
    </row>
    <row r="23" spans="1:12" ht="21" thickTop="1" thickBot="1">
      <c r="A23" s="133"/>
      <c r="B23" s="134"/>
      <c r="C23" s="145" t="str">
        <f>CONCATENATE("Время в полете - ",H60," час  ",J60," мин")</f>
        <v>Время в полете - 3 час  7 мин</v>
      </c>
      <c r="D23" s="145"/>
      <c r="E23" s="145"/>
      <c r="F23" s="145"/>
      <c r="G23" s="145"/>
      <c r="H23" s="147" t="s">
        <v>39</v>
      </c>
      <c r="I23" s="147"/>
      <c r="J23" s="150"/>
      <c r="K23" s="151">
        <f>IF(SUM(I11:I15,K18,K19,K20)&lt;K21,SUM(I11:I15,K18,K19,K20),"FUEL MAX!")</f>
        <v>44709.315486658437</v>
      </c>
      <c r="L23" s="152">
        <f>K23/0.453</f>
        <v>98696.06067695019</v>
      </c>
    </row>
    <row r="24" spans="1:12" ht="19.899999999999999" customHeight="1" thickTop="1" thickBot="1">
      <c r="A24" s="53"/>
      <c r="B24" s="54"/>
      <c r="C24" s="54"/>
      <c r="D24" s="54"/>
      <c r="E24" s="54"/>
      <c r="F24" s="54"/>
      <c r="G24" s="54"/>
      <c r="H24" s="54"/>
      <c r="I24" s="142" t="s">
        <v>9</v>
      </c>
      <c r="J24" s="142"/>
      <c r="K24" s="72">
        <f>IF((K13+K23)&lt;K4,K13+K23,"MTOW!!")</f>
        <v>270102.31548665842</v>
      </c>
      <c r="L24" s="153">
        <f>K24/0.453</f>
        <v>596252.35206767858</v>
      </c>
    </row>
    <row r="25" spans="1:12" ht="12.75" hidden="1" customHeight="1"/>
    <row r="26" spans="1:12" ht="12.75" hidden="1" customHeight="1">
      <c r="B26" s="3" t="s">
        <v>10</v>
      </c>
      <c r="C26" s="10" t="s">
        <v>2</v>
      </c>
      <c r="D26" s="137" t="s">
        <v>3</v>
      </c>
      <c r="E26" s="137"/>
      <c r="F26" s="138" t="s">
        <v>4</v>
      </c>
      <c r="G26" s="138"/>
    </row>
    <row r="27" spans="1:12" ht="12.75" hidden="1" customHeight="1">
      <c r="B27" s="5"/>
      <c r="C27" s="11" t="s">
        <v>5</v>
      </c>
      <c r="D27" s="13" t="s">
        <v>5</v>
      </c>
      <c r="E27" s="13" t="s">
        <v>6</v>
      </c>
      <c r="F27" s="6" t="s">
        <v>5</v>
      </c>
      <c r="G27" s="6" t="s">
        <v>6</v>
      </c>
    </row>
    <row r="28" spans="1:12" ht="12.75" hidden="1" customHeight="1">
      <c r="B28" s="7">
        <v>0</v>
      </c>
      <c r="C28" s="12"/>
      <c r="D28" s="14">
        <v>562.20000000000005</v>
      </c>
      <c r="E28" s="13"/>
      <c r="F28" s="8">
        <v>68.7</v>
      </c>
      <c r="G28" s="4"/>
    </row>
    <row r="29" spans="1:12" ht="12.75" hidden="1" customHeight="1">
      <c r="B29" s="7">
        <v>500</v>
      </c>
      <c r="C29" s="12"/>
      <c r="D29" s="14">
        <v>557.70000000000005</v>
      </c>
      <c r="E29" s="15">
        <f>((B29-B28)/$F$11)*D28</f>
        <v>112.44899591967356</v>
      </c>
      <c r="F29" s="8">
        <v>68.099999999999994</v>
      </c>
      <c r="G29" s="9">
        <f>((B29-B28)/$F$13)*F28</f>
        <v>22.906413795862843</v>
      </c>
    </row>
    <row r="30" spans="1:12" ht="12.75" hidden="1" customHeight="1">
      <c r="B30" s="7">
        <v>1000</v>
      </c>
      <c r="C30" s="12"/>
      <c r="D30" s="14">
        <v>553.1</v>
      </c>
      <c r="E30" s="15">
        <f t="shared" ref="E30:E55" si="0">(((B30-B29)/$F$11)*D29)+E29</f>
        <v>223.99791983358668</v>
      </c>
      <c r="F30" s="8">
        <v>67.599999999999994</v>
      </c>
      <c r="G30" s="9">
        <f t="shared" ref="G30:G55" si="1">(((B30-B29)/$F$13)*F29)+G29</f>
        <v>45.612771576041297</v>
      </c>
    </row>
    <row r="31" spans="1:12" ht="12.75" hidden="1" customHeight="1">
      <c r="B31" s="7">
        <v>1500</v>
      </c>
      <c r="C31" s="12"/>
      <c r="D31" s="14">
        <v>549</v>
      </c>
      <c r="E31" s="15">
        <f t="shared" si="0"/>
        <v>334.6267701416113</v>
      </c>
      <c r="F31" s="8">
        <v>67.2</v>
      </c>
      <c r="G31" s="9">
        <f t="shared" si="1"/>
        <v>68.152416009816079</v>
      </c>
    </row>
    <row r="32" spans="1:12" ht="12.75" hidden="1" customHeight="1">
      <c r="B32" s="7">
        <v>2000</v>
      </c>
      <c r="C32" s="12"/>
      <c r="D32" s="14">
        <v>544.4</v>
      </c>
      <c r="E32" s="15">
        <f t="shared" si="0"/>
        <v>444.43555484438753</v>
      </c>
      <c r="F32" s="8">
        <v>67</v>
      </c>
      <c r="G32" s="9">
        <f t="shared" si="1"/>
        <v>90.55868976646795</v>
      </c>
    </row>
    <row r="33" spans="2:7" ht="12.75" hidden="1" customHeight="1">
      <c r="B33" s="7">
        <v>3000</v>
      </c>
      <c r="C33" s="12">
        <v>150.69999999999999</v>
      </c>
      <c r="D33" s="14">
        <v>537.20000000000005</v>
      </c>
      <c r="E33" s="15">
        <f t="shared" si="0"/>
        <v>662.21297703816299</v>
      </c>
      <c r="F33" s="8">
        <v>65.900000000000006</v>
      </c>
      <c r="G33" s="9">
        <f t="shared" si="1"/>
        <v>135.23786660264875</v>
      </c>
    </row>
    <row r="34" spans="2:7" ht="12.75" hidden="1" customHeight="1">
      <c r="B34" s="7">
        <v>4000</v>
      </c>
      <c r="C34" s="12">
        <v>150.80000000000001</v>
      </c>
      <c r="D34" s="14">
        <v>531</v>
      </c>
      <c r="E34" s="15">
        <f t="shared" si="0"/>
        <v>877.11016881350497</v>
      </c>
      <c r="F34" s="8">
        <v>64.8</v>
      </c>
      <c r="G34" s="9">
        <f t="shared" si="1"/>
        <v>179.18350471465345</v>
      </c>
    </row>
    <row r="35" spans="2:7" ht="12.75" hidden="1" customHeight="1">
      <c r="B35" s="7">
        <v>6000</v>
      </c>
      <c r="C35" s="12">
        <v>154.69999999999999</v>
      </c>
      <c r="D35" s="14">
        <v>513.29999999999995</v>
      </c>
      <c r="E35" s="15">
        <f t="shared" si="0"/>
        <v>1301.9441555324424</v>
      </c>
      <c r="F35" s="8">
        <v>62.5</v>
      </c>
      <c r="G35" s="9">
        <f t="shared" si="1"/>
        <v>265.60770349031066</v>
      </c>
    </row>
    <row r="36" spans="2:7" ht="12.75" hidden="1" customHeight="1">
      <c r="B36" s="7">
        <v>8000</v>
      </c>
      <c r="C36" s="12">
        <v>154.80000000000001</v>
      </c>
      <c r="D36" s="14">
        <v>494.9</v>
      </c>
      <c r="E36" s="15">
        <f t="shared" si="0"/>
        <v>1712.6170093607486</v>
      </c>
      <c r="F36" s="8">
        <v>60.6</v>
      </c>
      <c r="G36" s="9">
        <f t="shared" si="1"/>
        <v>348.96437669214049</v>
      </c>
    </row>
    <row r="37" spans="2:7" ht="12.75" hidden="1" customHeight="1">
      <c r="B37" s="7">
        <v>10000</v>
      </c>
      <c r="C37" s="12">
        <v>154.9</v>
      </c>
      <c r="D37" s="14">
        <v>476.4</v>
      </c>
      <c r="E37" s="15">
        <f t="shared" si="0"/>
        <v>2108.5686854948394</v>
      </c>
      <c r="F37" s="8">
        <v>58.3</v>
      </c>
      <c r="G37" s="9">
        <f t="shared" si="1"/>
        <v>429.78700702863472</v>
      </c>
    </row>
    <row r="38" spans="2:7" ht="12.75" hidden="1" customHeight="1">
      <c r="B38" s="7">
        <v>12000</v>
      </c>
      <c r="C38" s="12">
        <v>155</v>
      </c>
      <c r="D38" s="14">
        <v>466.2</v>
      </c>
      <c r="E38" s="15">
        <f t="shared" si="0"/>
        <v>2489.7191775342026</v>
      </c>
      <c r="F38" s="8">
        <v>56.4</v>
      </c>
      <c r="G38" s="9">
        <f t="shared" si="1"/>
        <v>507.54211179130158</v>
      </c>
    </row>
    <row r="39" spans="2:7" ht="12.75" hidden="1" customHeight="1">
      <c r="B39" s="7">
        <v>14000</v>
      </c>
      <c r="C39" s="12">
        <v>155.19999999999999</v>
      </c>
      <c r="D39" s="14">
        <v>447.5</v>
      </c>
      <c r="E39" s="15">
        <f t="shared" si="0"/>
        <v>2862.7090167213373</v>
      </c>
      <c r="F39" s="8">
        <v>54.1</v>
      </c>
      <c r="G39" s="9">
        <f t="shared" si="1"/>
        <v>582.76317368863283</v>
      </c>
    </row>
    <row r="40" spans="2:7" ht="12.75" hidden="1" customHeight="1">
      <c r="B40" s="7">
        <v>16000</v>
      </c>
      <c r="C40" s="12">
        <v>204.9</v>
      </c>
      <c r="D40" s="14">
        <v>428.8</v>
      </c>
      <c r="E40" s="15">
        <f t="shared" si="0"/>
        <v>3220.7376590127205</v>
      </c>
      <c r="F40" s="8">
        <v>51.9</v>
      </c>
      <c r="G40" s="9">
        <f t="shared" si="1"/>
        <v>654.91671001213672</v>
      </c>
    </row>
    <row r="41" spans="2:7" ht="12.75" hidden="1" customHeight="1">
      <c r="B41" s="7">
        <v>18000</v>
      </c>
      <c r="C41" s="12">
        <v>204.2</v>
      </c>
      <c r="D41" s="14">
        <v>409.9</v>
      </c>
      <c r="E41" s="15">
        <f t="shared" si="0"/>
        <v>3563.8051044083522</v>
      </c>
      <c r="F41" s="8">
        <v>49.6</v>
      </c>
      <c r="G41" s="9">
        <f t="shared" si="1"/>
        <v>724.13609143893621</v>
      </c>
    </row>
    <row r="42" spans="2:7" ht="12.75" hidden="1" customHeight="1">
      <c r="B42" s="7">
        <v>20000</v>
      </c>
      <c r="C42" s="12">
        <v>203.4</v>
      </c>
      <c r="D42" s="14">
        <v>391.1</v>
      </c>
      <c r="E42" s="15">
        <f t="shared" si="0"/>
        <v>3891.7513401072083</v>
      </c>
      <c r="F42" s="8">
        <v>30.8</v>
      </c>
      <c r="G42" s="9">
        <f t="shared" si="1"/>
        <v>790.28794729190838</v>
      </c>
    </row>
    <row r="43" spans="2:7" ht="12.75" hidden="1" customHeight="1">
      <c r="B43" s="7">
        <v>22000</v>
      </c>
      <c r="C43" s="12">
        <v>202.5</v>
      </c>
      <c r="D43" s="14">
        <v>372.2</v>
      </c>
      <c r="E43" s="15">
        <f t="shared" si="0"/>
        <v>4204.6563725098003</v>
      </c>
      <c r="F43" s="8">
        <v>29.3</v>
      </c>
      <c r="G43" s="9">
        <f t="shared" si="1"/>
        <v>831.36611584577008</v>
      </c>
    </row>
    <row r="44" spans="2:7" ht="12.75" hidden="1" customHeight="1">
      <c r="B44" s="7">
        <v>24000</v>
      </c>
      <c r="C44" s="12">
        <v>201.6</v>
      </c>
      <c r="D44" s="14">
        <v>353.2</v>
      </c>
      <c r="E44" s="15">
        <f t="shared" si="0"/>
        <v>4502.4401952156168</v>
      </c>
      <c r="F44" s="8">
        <v>27.8</v>
      </c>
      <c r="G44" s="9">
        <f t="shared" si="1"/>
        <v>870.44372424278788</v>
      </c>
    </row>
    <row r="45" spans="2:7" ht="12.75" hidden="1" customHeight="1">
      <c r="B45" s="7">
        <v>26000</v>
      </c>
      <c r="C45" s="12">
        <v>200.6</v>
      </c>
      <c r="D45" s="14">
        <v>334.1</v>
      </c>
      <c r="E45" s="15">
        <f t="shared" si="0"/>
        <v>4785.0228018241451</v>
      </c>
      <c r="F45" s="8">
        <v>26.3</v>
      </c>
      <c r="G45" s="9">
        <f t="shared" si="1"/>
        <v>907.52077248296177</v>
      </c>
    </row>
    <row r="46" spans="2:7" ht="12.75" hidden="1" customHeight="1">
      <c r="B46" s="7">
        <v>28000</v>
      </c>
      <c r="C46" s="12">
        <v>198.8</v>
      </c>
      <c r="D46" s="14">
        <v>314.89999999999998</v>
      </c>
      <c r="E46" s="15">
        <f t="shared" si="0"/>
        <v>5052.3241859348736</v>
      </c>
      <c r="F46" s="8">
        <v>24.8</v>
      </c>
      <c r="G46" s="9">
        <f t="shared" si="1"/>
        <v>942.59726056629177</v>
      </c>
    </row>
    <row r="47" spans="2:7" ht="12.75" hidden="1" customHeight="1">
      <c r="B47" s="7">
        <v>29000</v>
      </c>
      <c r="C47" s="12">
        <v>193.5</v>
      </c>
      <c r="D47" s="14">
        <v>304.8</v>
      </c>
      <c r="E47" s="15">
        <f t="shared" si="0"/>
        <v>5178.2942635410818</v>
      </c>
      <c r="F47" s="8">
        <v>24.1</v>
      </c>
      <c r="G47" s="9">
        <f t="shared" si="1"/>
        <v>959.13522452953475</v>
      </c>
    </row>
    <row r="48" spans="2:7" ht="12.75" hidden="1" customHeight="1">
      <c r="B48" s="7">
        <v>31000</v>
      </c>
      <c r="C48" s="12">
        <v>184</v>
      </c>
      <c r="D48" s="14">
        <v>284.7</v>
      </c>
      <c r="E48" s="15">
        <f t="shared" si="0"/>
        <v>5422.1537723017827</v>
      </c>
      <c r="F48" s="8">
        <v>23</v>
      </c>
      <c r="G48" s="9">
        <f t="shared" si="1"/>
        <v>991.27755771616035</v>
      </c>
    </row>
    <row r="49" spans="1:10" ht="12.75" hidden="1" customHeight="1">
      <c r="B49" s="7">
        <v>33000</v>
      </c>
      <c r="C49" s="12">
        <v>175.8</v>
      </c>
      <c r="D49" s="14">
        <v>264.5</v>
      </c>
      <c r="E49" s="15">
        <f t="shared" si="0"/>
        <v>5649.9319945595635</v>
      </c>
      <c r="F49" s="8">
        <v>22</v>
      </c>
      <c r="G49" s="9">
        <f t="shared" si="1"/>
        <v>1021.9528134544337</v>
      </c>
    </row>
    <row r="50" spans="1:10" ht="12.75" hidden="1" customHeight="1">
      <c r="B50" s="7">
        <v>35000</v>
      </c>
      <c r="C50" s="12">
        <v>169.1</v>
      </c>
      <c r="D50" s="14">
        <v>244.4</v>
      </c>
      <c r="E50" s="15">
        <f t="shared" si="0"/>
        <v>5861.5489239139115</v>
      </c>
      <c r="F50" s="8">
        <v>21</v>
      </c>
      <c r="G50" s="9">
        <f t="shared" si="1"/>
        <v>1051.2943624214779</v>
      </c>
    </row>
    <row r="51" spans="1:10" ht="12.75" hidden="1" customHeight="1">
      <c r="B51" s="7">
        <v>37000</v>
      </c>
      <c r="C51" s="12">
        <v>163.9</v>
      </c>
      <c r="D51" s="14">
        <v>224.4</v>
      </c>
      <c r="E51" s="15">
        <f t="shared" si="0"/>
        <v>6057.0845667653393</v>
      </c>
      <c r="F51" s="8">
        <v>19.899999999999999</v>
      </c>
      <c r="G51" s="9">
        <f t="shared" si="1"/>
        <v>1079.3022046172928</v>
      </c>
    </row>
    <row r="52" spans="1:10" ht="12.75" hidden="1" customHeight="1">
      <c r="B52" s="7">
        <v>39000</v>
      </c>
      <c r="C52" s="12">
        <v>160.19999999999999</v>
      </c>
      <c r="D52" s="14">
        <v>204.5</v>
      </c>
      <c r="E52" s="15">
        <f t="shared" si="0"/>
        <v>6236.6189295143595</v>
      </c>
      <c r="F52" s="8">
        <v>18.899999999999999</v>
      </c>
      <c r="G52" s="9">
        <f t="shared" si="1"/>
        <v>1105.8429693647554</v>
      </c>
    </row>
    <row r="53" spans="1:10" ht="12.75" hidden="1" customHeight="1">
      <c r="A53" s="1"/>
      <c r="B53" s="16">
        <v>41000</v>
      </c>
      <c r="C53" s="17">
        <v>157.6</v>
      </c>
      <c r="D53" s="19">
        <v>184.6</v>
      </c>
      <c r="E53" s="15">
        <f t="shared" si="0"/>
        <v>6400.2320185614835</v>
      </c>
      <c r="F53" s="18">
        <v>17.899999999999999</v>
      </c>
      <c r="G53" s="9">
        <f t="shared" si="1"/>
        <v>1131.0500273409887</v>
      </c>
    </row>
    <row r="54" spans="1:10" ht="12.75" hidden="1" customHeight="1">
      <c r="B54" s="16">
        <v>43000</v>
      </c>
      <c r="C54" s="17">
        <v>140.69999999999999</v>
      </c>
      <c r="D54" s="19">
        <v>164.7</v>
      </c>
      <c r="E54" s="15">
        <f t="shared" si="0"/>
        <v>6547.9238339067115</v>
      </c>
      <c r="F54" s="18">
        <v>16.899999999999999</v>
      </c>
      <c r="G54" s="9">
        <f t="shared" si="1"/>
        <v>1154.9233785459928</v>
      </c>
    </row>
    <row r="55" spans="1:10" ht="12.75" hidden="1" customHeight="1">
      <c r="B55" s="16">
        <v>45000</v>
      </c>
      <c r="C55" s="17">
        <v>123.7</v>
      </c>
      <c r="D55" s="19">
        <v>144.80000000000001</v>
      </c>
      <c r="E55" s="15">
        <f t="shared" si="0"/>
        <v>6679.6943755500433</v>
      </c>
      <c r="F55" s="18">
        <v>15.8</v>
      </c>
      <c r="G55" s="9">
        <f t="shared" si="1"/>
        <v>1177.4630229797676</v>
      </c>
    </row>
    <row r="56" spans="1:10" ht="12.75" hidden="1" customHeight="1"/>
    <row r="57" spans="1:10" ht="12.75" hidden="1" customHeight="1"/>
    <row r="58" spans="1:10" ht="12.75" hidden="1" customHeight="1"/>
    <row r="59" spans="1:10" ht="12.75" hidden="1" customHeight="1"/>
    <row r="60" spans="1:10" ht="12.75" hidden="1" customHeight="1">
      <c r="H60" s="21">
        <f>INT((H11+H13+H12)/60)</f>
        <v>3</v>
      </c>
      <c r="I60" s="20">
        <f>((H11+H12+H13)/60)-H60</f>
        <v>0.12028984127539211</v>
      </c>
      <c r="J60" s="21">
        <f>INT(I60*60)</f>
        <v>7</v>
      </c>
    </row>
    <row r="69" spans="7:7">
      <c r="G69" s="170"/>
    </row>
    <row r="70" spans="7:7">
      <c r="G70" s="170"/>
    </row>
  </sheetData>
  <mergeCells count="37">
    <mergeCell ref="A20:B20"/>
    <mergeCell ref="A12:B12"/>
    <mergeCell ref="A13:B13"/>
    <mergeCell ref="A14:B14"/>
    <mergeCell ref="A15:B15"/>
    <mergeCell ref="J1:L1"/>
    <mergeCell ref="E6:G6"/>
    <mergeCell ref="I22:J22"/>
    <mergeCell ref="I21:J21"/>
    <mergeCell ref="J17:L17"/>
    <mergeCell ref="A1:G1"/>
    <mergeCell ref="J16:L16"/>
    <mergeCell ref="J9:L9"/>
    <mergeCell ref="A11:B11"/>
    <mergeCell ref="A19:B19"/>
    <mergeCell ref="B2:G3"/>
    <mergeCell ref="A16:B16"/>
    <mergeCell ref="A17:B17"/>
    <mergeCell ref="A18:B18"/>
    <mergeCell ref="C15:F15"/>
    <mergeCell ref="A9:I9"/>
    <mergeCell ref="I24:J24"/>
    <mergeCell ref="I2:J2"/>
    <mergeCell ref="I3:J3"/>
    <mergeCell ref="I4:J4"/>
    <mergeCell ref="I5:J5"/>
    <mergeCell ref="I6:J6"/>
    <mergeCell ref="H23:J23"/>
    <mergeCell ref="I18:J18"/>
    <mergeCell ref="I19:J19"/>
    <mergeCell ref="I20:J20"/>
    <mergeCell ref="C23:G23"/>
    <mergeCell ref="D26:E26"/>
    <mergeCell ref="F26:G26"/>
    <mergeCell ref="A21:B21"/>
    <mergeCell ref="A22:B22"/>
    <mergeCell ref="A23:B23"/>
  </mergeCells>
  <phoneticPr fontId="0" type="noConversion"/>
  <conditionalFormatting sqref="K20 K24">
    <cfRule type="cellIs" priority="1" stopIfTrue="1" operator="equal">
      <formula>0</formula>
    </cfRule>
  </conditionalFormatting>
  <pageMargins left="0.78749999999999998" right="0.78749999999999998" top="0.78749999999999998" bottom="0.78749999999999998" header="9.8611111111111122E-2" footer="9.8611111111111122E-2"/>
  <pageSetup paperSize="9" fitToHeight="0" orientation="portrait" horizontalDpi="300" verticalDpi="300" r:id="rId1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5" enableFormatConditionsCalculation="0">
    <tabColor indexed="17"/>
  </sheetPr>
  <dimension ref="A1:O62"/>
  <sheetViews>
    <sheetView showGridLines="0" workbookViewId="0">
      <selection activeCell="K13" sqref="K13"/>
    </sheetView>
  </sheetViews>
  <sheetFormatPr defaultColWidth="11.7109375" defaultRowHeight="12.75"/>
  <cols>
    <col min="1" max="1" width="13.7109375" customWidth="1"/>
    <col min="2" max="2" width="10.5703125" customWidth="1"/>
    <col min="3" max="3" width="13.42578125" customWidth="1"/>
    <col min="4" max="4" width="11.140625" customWidth="1"/>
    <col min="5" max="5" width="9.7109375" customWidth="1"/>
    <col min="6" max="6" width="13.5703125" customWidth="1"/>
    <col min="7" max="7" width="11.85546875" customWidth="1"/>
    <col min="8" max="8" width="9.28515625" customWidth="1"/>
    <col min="9" max="9" width="10" customWidth="1"/>
    <col min="10" max="10" width="14.85546875" customWidth="1"/>
    <col min="11" max="11" width="16.28515625" customWidth="1"/>
    <col min="12" max="12" width="14.85546875" customWidth="1"/>
    <col min="13" max="15" width="11.7109375" customWidth="1"/>
    <col min="16" max="16" width="12.7109375" customWidth="1"/>
  </cols>
  <sheetData>
    <row r="1" spans="1:15" ht="27.6" customHeight="1">
      <c r="A1" s="122" t="s">
        <v>55</v>
      </c>
      <c r="B1" s="123"/>
      <c r="C1" s="123"/>
      <c r="D1" s="123"/>
      <c r="E1" s="123"/>
      <c r="F1" s="123"/>
      <c r="G1" s="124"/>
      <c r="H1" s="84"/>
      <c r="I1" s="84"/>
      <c r="J1" s="119" t="s">
        <v>45</v>
      </c>
      <c r="K1" s="119"/>
      <c r="L1" s="120"/>
    </row>
    <row r="2" spans="1:15" ht="12.6" customHeight="1">
      <c r="A2" s="85"/>
      <c r="B2" s="125" t="s">
        <v>44</v>
      </c>
      <c r="C2" s="125"/>
      <c r="D2" s="125"/>
      <c r="E2" s="125"/>
      <c r="F2" s="125"/>
      <c r="G2" s="125"/>
      <c r="H2" s="23"/>
      <c r="I2" s="130" t="s">
        <v>40</v>
      </c>
      <c r="J2" s="130"/>
      <c r="K2" s="28">
        <v>123999</v>
      </c>
      <c r="L2" s="87">
        <f>K2/0.453</f>
        <v>273728.47682119202</v>
      </c>
    </row>
    <row r="3" spans="1:15">
      <c r="A3" s="88"/>
      <c r="B3" s="126"/>
      <c r="C3" s="126"/>
      <c r="D3" s="126"/>
      <c r="E3" s="126"/>
      <c r="F3" s="126"/>
      <c r="G3" s="126"/>
      <c r="H3" s="89"/>
      <c r="I3" s="130" t="s">
        <v>54</v>
      </c>
      <c r="J3" s="130"/>
      <c r="K3" s="74">
        <v>185973</v>
      </c>
      <c r="L3" s="90">
        <f>K3/0.453</f>
        <v>410536.42384105962</v>
      </c>
    </row>
    <row r="4" spans="1:15">
      <c r="A4" s="88"/>
      <c r="B4" s="91"/>
      <c r="C4" s="92" t="s">
        <v>15</v>
      </c>
      <c r="D4" s="93" t="s">
        <v>0</v>
      </c>
      <c r="E4" s="89"/>
      <c r="F4" s="94" t="s">
        <v>16</v>
      </c>
      <c r="G4" s="89"/>
      <c r="H4" s="89"/>
      <c r="I4" s="130" t="s">
        <v>42</v>
      </c>
      <c r="J4" s="130"/>
      <c r="K4" s="28">
        <v>281680</v>
      </c>
      <c r="L4" s="87">
        <f>K4/0.453</f>
        <v>621810.15452538629</v>
      </c>
    </row>
    <row r="5" spans="1:15">
      <c r="A5" s="88"/>
      <c r="B5" s="95" t="s">
        <v>50</v>
      </c>
      <c r="C5" s="96" t="s">
        <v>27</v>
      </c>
      <c r="D5" s="97">
        <v>0.8</v>
      </c>
      <c r="E5" s="89"/>
      <c r="F5" s="98">
        <v>43000</v>
      </c>
      <c r="G5" s="89"/>
      <c r="H5" s="89"/>
      <c r="I5" s="130" t="s">
        <v>41</v>
      </c>
      <c r="J5" s="130"/>
      <c r="K5" s="28">
        <v>199580</v>
      </c>
      <c r="L5" s="87">
        <f>K5/0.453</f>
        <v>440573.95143487857</v>
      </c>
    </row>
    <row r="6" spans="1:15">
      <c r="A6" s="88"/>
      <c r="B6" s="95" t="s">
        <v>30</v>
      </c>
      <c r="C6" s="96" t="s">
        <v>28</v>
      </c>
      <c r="D6" s="97">
        <v>0.84</v>
      </c>
      <c r="E6" s="121" t="s">
        <v>14</v>
      </c>
      <c r="F6" s="121"/>
      <c r="G6" s="121"/>
      <c r="H6" s="89"/>
      <c r="I6" s="127"/>
      <c r="J6" s="127"/>
      <c r="K6" s="28"/>
      <c r="L6" s="87"/>
    </row>
    <row r="7" spans="1:15">
      <c r="A7" s="88"/>
      <c r="B7" s="95" t="s">
        <v>32</v>
      </c>
      <c r="C7" s="99" t="s">
        <v>29</v>
      </c>
      <c r="D7" s="97">
        <v>0.8</v>
      </c>
      <c r="E7" s="89"/>
      <c r="F7" s="99">
        <v>322</v>
      </c>
      <c r="G7" s="89"/>
      <c r="H7" s="89"/>
      <c r="I7" s="89"/>
      <c r="J7" s="86"/>
      <c r="K7" s="28"/>
      <c r="L7" s="87"/>
    </row>
    <row r="8" spans="1:15" ht="13.5" thickBot="1">
      <c r="A8" s="100"/>
      <c r="B8" s="101"/>
      <c r="C8" s="102"/>
      <c r="D8" s="102"/>
      <c r="E8" s="101"/>
      <c r="F8" s="101"/>
      <c r="G8" s="101"/>
      <c r="H8" s="101"/>
      <c r="I8" s="101"/>
      <c r="J8" s="101"/>
      <c r="K8" s="103"/>
      <c r="L8" s="104"/>
    </row>
    <row r="9" spans="1:15" ht="19.350000000000001" customHeight="1">
      <c r="A9" s="128" t="s">
        <v>51</v>
      </c>
      <c r="B9" s="129"/>
      <c r="C9" s="129"/>
      <c r="D9" s="129"/>
      <c r="E9" s="129"/>
      <c r="F9" s="129"/>
      <c r="G9" s="129"/>
      <c r="H9" s="129"/>
      <c r="I9" s="129"/>
      <c r="J9" s="129" t="s">
        <v>26</v>
      </c>
      <c r="K9" s="129"/>
      <c r="L9" s="141"/>
    </row>
    <row r="10" spans="1:15">
      <c r="A10" s="29"/>
      <c r="B10" s="30" t="s">
        <v>12</v>
      </c>
      <c r="C10" s="83" t="s">
        <v>52</v>
      </c>
      <c r="D10" s="83" t="s">
        <v>53</v>
      </c>
      <c r="E10" s="27" t="s">
        <v>43</v>
      </c>
      <c r="F10" s="27" t="s">
        <v>1</v>
      </c>
      <c r="G10" s="27" t="s">
        <v>7</v>
      </c>
      <c r="H10" s="27" t="s">
        <v>8</v>
      </c>
      <c r="I10" s="27" t="s">
        <v>13</v>
      </c>
      <c r="J10" s="31"/>
      <c r="K10" s="32"/>
      <c r="L10" s="33"/>
    </row>
    <row r="11" spans="1:15">
      <c r="A11" s="114" t="s">
        <v>31</v>
      </c>
      <c r="B11" s="116"/>
      <c r="C11" s="55">
        <v>300</v>
      </c>
      <c r="D11" s="34">
        <f>C11-C21</f>
        <v>250</v>
      </c>
      <c r="E11" s="56">
        <v>8.6199999999999999E-2</v>
      </c>
      <c r="F11" s="35">
        <f>(E11*D11)*100</f>
        <v>2155</v>
      </c>
      <c r="G11" s="36">
        <f>C17/((E11*60)*100)</f>
        <v>71.539056457849966</v>
      </c>
      <c r="H11" s="37">
        <f>(60/D11)*G11</f>
        <v>17.169373549883993</v>
      </c>
      <c r="I11" s="38">
        <f>VLOOKUP(C17,B26:E55,4)</f>
        <v>4392.2041763341067</v>
      </c>
      <c r="J11" s="39" t="s">
        <v>37</v>
      </c>
      <c r="K11" s="61">
        <f>G18*83</f>
        <v>24900</v>
      </c>
      <c r="L11" s="64">
        <f>K11/0.453</f>
        <v>54966.887417218539</v>
      </c>
    </row>
    <row r="12" spans="1:15" ht="13.5" thickBot="1">
      <c r="A12" s="114" t="s">
        <v>30</v>
      </c>
      <c r="B12" s="116"/>
      <c r="C12" s="55">
        <v>290</v>
      </c>
      <c r="D12" s="34">
        <f>(((C17/600)*0.0122)*C12)+C12-C21</f>
        <v>458.17666666666662</v>
      </c>
      <c r="E12" s="40"/>
      <c r="F12" s="35"/>
      <c r="G12" s="36">
        <f>C19-(G11+G13)</f>
        <v>2132.4298548373126</v>
      </c>
      <c r="H12" s="37">
        <f>(60/D12)*G12</f>
        <v>279.24990641944254</v>
      </c>
      <c r="I12" s="38">
        <f>VLOOKUP(C17,B28:C532,2)*H12</f>
        <v>37894.21230111835</v>
      </c>
      <c r="J12" s="41" t="s">
        <v>22</v>
      </c>
      <c r="K12" s="62">
        <f>G19+G20</f>
        <v>25000</v>
      </c>
      <c r="L12" s="157">
        <f>K12/0.453</f>
        <v>55187.637969094918</v>
      </c>
      <c r="N12" s="2"/>
      <c r="O12" s="2"/>
    </row>
    <row r="13" spans="1:15" ht="14.25" thickTop="1" thickBot="1">
      <c r="A13" s="114" t="s">
        <v>32</v>
      </c>
      <c r="B13" s="116"/>
      <c r="C13" s="55">
        <v>280</v>
      </c>
      <c r="D13" s="34">
        <f>C13-C21</f>
        <v>230</v>
      </c>
      <c r="E13" s="56">
        <v>5.5539999999999999E-2</v>
      </c>
      <c r="F13" s="35">
        <f>(E13*D13)*100</f>
        <v>1277.42</v>
      </c>
      <c r="G13" s="36">
        <f>C17/((E13*60)*100)</f>
        <v>111.03108870483734</v>
      </c>
      <c r="H13" s="37">
        <f>(60/D13)*G13</f>
        <v>28.964631836044525</v>
      </c>
      <c r="I13" s="38">
        <f>VLOOKUP(C17,B26:G532,6)</f>
        <v>554.63355826587974</v>
      </c>
      <c r="J13" s="41" t="s">
        <v>23</v>
      </c>
      <c r="K13" s="159">
        <f>K2+K11+K12</f>
        <v>173899</v>
      </c>
      <c r="L13" s="160">
        <f>K13/0.453</f>
        <v>383883.00220750552</v>
      </c>
    </row>
    <row r="14" spans="1:15" ht="13.5" thickTop="1">
      <c r="A14" s="117"/>
      <c r="B14" s="118"/>
      <c r="C14" s="42"/>
      <c r="D14" s="43"/>
      <c r="E14" s="44"/>
      <c r="F14" s="45"/>
      <c r="G14" s="46"/>
      <c r="H14" s="47"/>
      <c r="I14" s="25"/>
      <c r="J14" s="41" t="s">
        <v>24</v>
      </c>
      <c r="K14" s="154">
        <f>IF((K13+K19+K20)&lt;K5,K13+K19+K20,"MLW!!")</f>
        <v>176899</v>
      </c>
      <c r="L14" s="158">
        <f>K14/0.453</f>
        <v>390505.51876379689</v>
      </c>
    </row>
    <row r="15" spans="1:15">
      <c r="A15" s="114" t="s">
        <v>34</v>
      </c>
      <c r="B15" s="115"/>
      <c r="C15" s="143" t="s">
        <v>49</v>
      </c>
      <c r="D15" s="143"/>
      <c r="E15" s="143"/>
      <c r="F15" s="144"/>
      <c r="G15" s="78">
        <v>200</v>
      </c>
      <c r="H15" s="76">
        <f>(60/D12)*G15</f>
        <v>26.190770663426775</v>
      </c>
      <c r="I15" s="77">
        <f>VLOOKUP(C17,B28:C52,2)*H15</f>
        <v>3554.0875790270129</v>
      </c>
      <c r="J15" s="26"/>
      <c r="K15" s="25"/>
      <c r="L15" s="48"/>
    </row>
    <row r="16" spans="1:15" ht="18">
      <c r="A16" s="117"/>
      <c r="B16" s="118"/>
      <c r="C16" s="24"/>
      <c r="D16" s="24"/>
      <c r="E16" s="24"/>
      <c r="F16" s="24"/>
      <c r="G16" s="49"/>
      <c r="H16" s="50"/>
      <c r="I16" s="51"/>
      <c r="J16" s="139" t="s">
        <v>17</v>
      </c>
      <c r="K16" s="139"/>
      <c r="L16" s="140"/>
    </row>
    <row r="17" spans="1:12" ht="15" customHeight="1">
      <c r="A17" s="135" t="s">
        <v>33</v>
      </c>
      <c r="B17" s="136"/>
      <c r="C17" s="57">
        <v>37000</v>
      </c>
      <c r="D17" s="109">
        <f>C17*0.3048</f>
        <v>11277.6</v>
      </c>
      <c r="E17" s="24"/>
      <c r="F17" s="24"/>
      <c r="G17" s="24"/>
      <c r="H17" s="24"/>
      <c r="I17" s="24"/>
      <c r="J17" s="139"/>
      <c r="K17" s="139"/>
      <c r="L17" s="140"/>
    </row>
    <row r="18" spans="1:12">
      <c r="A18" s="117"/>
      <c r="B18" s="118"/>
      <c r="C18" s="42"/>
      <c r="D18" s="110"/>
      <c r="E18" s="75"/>
      <c r="F18" s="75" t="s">
        <v>46</v>
      </c>
      <c r="G18" s="59">
        <v>300</v>
      </c>
      <c r="H18" s="24"/>
      <c r="I18" s="115" t="s">
        <v>18</v>
      </c>
      <c r="J18" s="116"/>
      <c r="K18" s="66">
        <v>700</v>
      </c>
      <c r="L18" s="68">
        <f>K18/0.453</f>
        <v>1545.2538631346579</v>
      </c>
    </row>
    <row r="19" spans="1:12">
      <c r="A19" s="114" t="s">
        <v>21</v>
      </c>
      <c r="B19" s="116"/>
      <c r="C19" s="58">
        <v>2315</v>
      </c>
      <c r="D19" s="111">
        <f>C19*1.852</f>
        <v>4287.38</v>
      </c>
      <c r="E19" s="75"/>
      <c r="F19" s="75" t="s">
        <v>47</v>
      </c>
      <c r="G19" s="60">
        <v>7000</v>
      </c>
      <c r="H19" s="24"/>
      <c r="I19" s="115" t="s">
        <v>20</v>
      </c>
      <c r="J19" s="148"/>
      <c r="K19" s="22">
        <v>1000</v>
      </c>
      <c r="L19" s="69">
        <f>K19/0.453</f>
        <v>2207.5055187637968</v>
      </c>
    </row>
    <row r="20" spans="1:12">
      <c r="A20" s="117"/>
      <c r="B20" s="118"/>
      <c r="C20" s="24"/>
      <c r="D20" s="110"/>
      <c r="E20" s="75"/>
      <c r="F20" s="75" t="s">
        <v>48</v>
      </c>
      <c r="G20" s="60">
        <v>18000</v>
      </c>
      <c r="H20" s="24"/>
      <c r="I20" s="115" t="s">
        <v>19</v>
      </c>
      <c r="J20" s="115"/>
      <c r="K20" s="67">
        <v>2000</v>
      </c>
      <c r="L20" s="68">
        <f>K20/0.453</f>
        <v>4415.0110375275935</v>
      </c>
    </row>
    <row r="21" spans="1:12">
      <c r="A21" s="114" t="s">
        <v>35</v>
      </c>
      <c r="B21" s="116"/>
      <c r="C21" s="55">
        <v>50</v>
      </c>
      <c r="D21" s="112">
        <f>C21*1.852</f>
        <v>92.600000000000009</v>
      </c>
      <c r="E21" s="24"/>
      <c r="F21" s="24"/>
      <c r="G21" s="24"/>
      <c r="H21" s="24"/>
      <c r="I21" s="115" t="s">
        <v>38</v>
      </c>
      <c r="J21" s="115"/>
      <c r="K21" s="70">
        <f>IF((K4-K13)&lt;128505,K4-K13,128505)</f>
        <v>107781</v>
      </c>
      <c r="L21" s="71">
        <f>K21/0.453</f>
        <v>237927.1523178808</v>
      </c>
    </row>
    <row r="22" spans="1:12" ht="13.5" thickBot="1">
      <c r="A22" s="131" t="s">
        <v>36</v>
      </c>
      <c r="B22" s="132"/>
      <c r="C22" s="24"/>
      <c r="D22" s="24"/>
      <c r="E22" s="24"/>
      <c r="F22" s="24"/>
      <c r="G22" s="24"/>
      <c r="H22" s="24"/>
      <c r="I22" s="146"/>
      <c r="J22" s="146"/>
      <c r="K22" s="161"/>
      <c r="L22" s="163"/>
    </row>
    <row r="23" spans="1:12" ht="21" thickTop="1" thickBot="1">
      <c r="A23" s="133"/>
      <c r="B23" s="134"/>
      <c r="C23" s="145" t="str">
        <f>CONCATENATE("Время в полете - ",H62," час  ",J62," мин")</f>
        <v>Время в полете - 5 час  25 мин</v>
      </c>
      <c r="D23" s="145"/>
      <c r="E23" s="145"/>
      <c r="F23" s="145"/>
      <c r="G23" s="145"/>
      <c r="H23" s="147" t="s">
        <v>39</v>
      </c>
      <c r="I23" s="147"/>
      <c r="J23" s="147"/>
      <c r="K23" s="165">
        <f>IF(SUM(I11:I15,K18,K19,K20)&lt;K21,SUM(I11:I15,K18,K19,K20),"FUEL MAX!")</f>
        <v>50095.137614745348</v>
      </c>
      <c r="L23" s="164">
        <f>K23/0.453</f>
        <v>110585.29274778222</v>
      </c>
    </row>
    <row r="24" spans="1:12" ht="20.25" customHeight="1" thickTop="1" thickBot="1">
      <c r="A24" s="53"/>
      <c r="B24" s="54"/>
      <c r="C24" s="82"/>
      <c r="D24" s="54"/>
      <c r="E24" s="54"/>
      <c r="F24" s="54"/>
      <c r="G24" s="54"/>
      <c r="H24" s="54"/>
      <c r="I24" s="142" t="s">
        <v>9</v>
      </c>
      <c r="J24" s="142"/>
      <c r="K24" s="72">
        <f>IF((K13+K23)&lt;K4,K13+K23,"MTOW!!")</f>
        <v>223994.13761474536</v>
      </c>
      <c r="L24" s="73">
        <f>K24/0.453</f>
        <v>494468.29495528777</v>
      </c>
    </row>
    <row r="25" spans="1:12" hidden="1"/>
    <row r="26" spans="1:12" hidden="1">
      <c r="B26" s="3" t="s">
        <v>10</v>
      </c>
      <c r="C26" s="10" t="s">
        <v>2</v>
      </c>
      <c r="D26" s="137" t="s">
        <v>3</v>
      </c>
      <c r="E26" s="137"/>
      <c r="F26" s="138" t="s">
        <v>4</v>
      </c>
      <c r="G26" s="138"/>
    </row>
    <row r="27" spans="1:12" hidden="1">
      <c r="B27" s="5"/>
      <c r="C27" s="11" t="s">
        <v>5</v>
      </c>
      <c r="D27" s="13" t="s">
        <v>5</v>
      </c>
      <c r="E27" s="13" t="s">
        <v>6</v>
      </c>
      <c r="F27" s="6" t="s">
        <v>5</v>
      </c>
      <c r="G27" s="6" t="s">
        <v>6</v>
      </c>
    </row>
    <row r="28" spans="1:12" hidden="1">
      <c r="B28" s="7">
        <v>0</v>
      </c>
      <c r="C28" s="12"/>
      <c r="D28" s="14">
        <v>295.8</v>
      </c>
      <c r="E28" s="13"/>
      <c r="F28" s="8">
        <v>21.7</v>
      </c>
      <c r="G28" s="4"/>
    </row>
    <row r="29" spans="1:12" hidden="1">
      <c r="B29" s="7">
        <v>500</v>
      </c>
      <c r="C29" s="12"/>
      <c r="D29" s="14">
        <v>292.8</v>
      </c>
      <c r="E29" s="15">
        <f>((B29-B28)/$F$11)*D28</f>
        <v>68.631090487238978</v>
      </c>
      <c r="F29" s="8">
        <v>21.6</v>
      </c>
      <c r="G29" s="9">
        <f>((B29-B28)/$F$13)*F28</f>
        <v>8.4936825789481922</v>
      </c>
    </row>
    <row r="30" spans="1:12" hidden="1">
      <c r="B30" s="7">
        <v>1000</v>
      </c>
      <c r="C30" s="12"/>
      <c r="D30" s="14">
        <v>289.8</v>
      </c>
      <c r="E30" s="15">
        <f t="shared" ref="E30:E54" si="0">(((B30-B29)/$F$11)*D29)+E29</f>
        <v>136.56612529002319</v>
      </c>
      <c r="F30" s="8">
        <v>21.6</v>
      </c>
      <c r="G30" s="9">
        <f t="shared" ref="G30:G54" si="1">(((B30-B29)/$F$13)*F29)+G29</f>
        <v>16.948223763523352</v>
      </c>
    </row>
    <row r="31" spans="1:12" hidden="1">
      <c r="B31" s="7">
        <v>1500</v>
      </c>
      <c r="C31" s="12"/>
      <c r="D31" s="14">
        <v>290.2</v>
      </c>
      <c r="E31" s="15">
        <f t="shared" si="0"/>
        <v>203.80510440835266</v>
      </c>
      <c r="F31" s="8">
        <v>21.5</v>
      </c>
      <c r="G31" s="9">
        <f t="shared" si="1"/>
        <v>25.402764948098511</v>
      </c>
    </row>
    <row r="32" spans="1:12" hidden="1">
      <c r="B32" s="7">
        <v>2000</v>
      </c>
      <c r="C32" s="12"/>
      <c r="D32" s="14">
        <v>287.2</v>
      </c>
      <c r="E32" s="15">
        <f t="shared" si="0"/>
        <v>271.13689095127609</v>
      </c>
      <c r="F32" s="8">
        <v>21.4</v>
      </c>
      <c r="G32" s="9">
        <f t="shared" si="1"/>
        <v>33.818164738300638</v>
      </c>
    </row>
    <row r="33" spans="2:7" hidden="1">
      <c r="B33" s="7">
        <v>3000</v>
      </c>
      <c r="C33" s="12">
        <v>96.2</v>
      </c>
      <c r="D33" s="14">
        <v>294.39999999999998</v>
      </c>
      <c r="E33" s="15">
        <f t="shared" si="0"/>
        <v>404.40835266821341</v>
      </c>
      <c r="F33" s="8">
        <v>21.3</v>
      </c>
      <c r="G33" s="9">
        <f t="shared" si="1"/>
        <v>50.570681529958819</v>
      </c>
    </row>
    <row r="34" spans="2:7" hidden="1">
      <c r="B34" s="7">
        <v>4000</v>
      </c>
      <c r="C34" s="12">
        <v>96.9</v>
      </c>
      <c r="D34" s="14">
        <v>307.7</v>
      </c>
      <c r="E34" s="15">
        <f t="shared" si="0"/>
        <v>541.02088167053353</v>
      </c>
      <c r="F34" s="8">
        <v>21.1</v>
      </c>
      <c r="G34" s="9">
        <f t="shared" si="1"/>
        <v>67.244915532870934</v>
      </c>
    </row>
    <row r="35" spans="2:7" hidden="1">
      <c r="B35" s="7">
        <v>6000</v>
      </c>
      <c r="C35" s="12">
        <v>98.1</v>
      </c>
      <c r="D35" s="14">
        <v>300.39999999999998</v>
      </c>
      <c r="E35" s="15">
        <f t="shared" si="0"/>
        <v>826.58932714617163</v>
      </c>
      <c r="F35" s="8">
        <v>20.8</v>
      </c>
      <c r="G35" s="9">
        <f t="shared" si="1"/>
        <v>100.28025238371092</v>
      </c>
    </row>
    <row r="36" spans="2:7" hidden="1">
      <c r="B36" s="7">
        <v>8000</v>
      </c>
      <c r="C36" s="12">
        <v>99.7</v>
      </c>
      <c r="D36" s="14">
        <v>288.2</v>
      </c>
      <c r="E36" s="15">
        <f t="shared" si="0"/>
        <v>1105.38283062645</v>
      </c>
      <c r="F36" s="8">
        <v>20.5</v>
      </c>
      <c r="G36" s="9">
        <f t="shared" si="1"/>
        <v>132.84589250207449</v>
      </c>
    </row>
    <row r="37" spans="2:7" hidden="1">
      <c r="B37" s="7">
        <v>10000</v>
      </c>
      <c r="C37" s="12">
        <v>101.3</v>
      </c>
      <c r="D37" s="14">
        <v>276.3</v>
      </c>
      <c r="E37" s="15">
        <f t="shared" si="0"/>
        <v>1372.8538283062644</v>
      </c>
      <c r="F37" s="8">
        <v>20.3</v>
      </c>
      <c r="G37" s="9">
        <f t="shared" si="1"/>
        <v>164.94183588796167</v>
      </c>
    </row>
    <row r="38" spans="2:7" hidden="1">
      <c r="B38" s="7">
        <v>12000</v>
      </c>
      <c r="C38" s="12">
        <v>103</v>
      </c>
      <c r="D38" s="14">
        <v>309.5</v>
      </c>
      <c r="E38" s="15">
        <f t="shared" si="0"/>
        <v>1629.2807424593966</v>
      </c>
      <c r="F38" s="8">
        <v>20</v>
      </c>
      <c r="G38" s="9">
        <f t="shared" si="1"/>
        <v>196.72464811886459</v>
      </c>
    </row>
    <row r="39" spans="2:7" hidden="1">
      <c r="B39" s="7">
        <v>14000</v>
      </c>
      <c r="C39" s="12">
        <v>104.8</v>
      </c>
      <c r="D39" s="14">
        <v>296.60000000000002</v>
      </c>
      <c r="E39" s="15">
        <f t="shared" si="0"/>
        <v>1916.5197215777262</v>
      </c>
      <c r="F39" s="8">
        <v>19.7</v>
      </c>
      <c r="G39" s="9">
        <f t="shared" si="1"/>
        <v>228.03776361729112</v>
      </c>
    </row>
    <row r="40" spans="2:7" hidden="1">
      <c r="B40" s="7">
        <v>16000</v>
      </c>
      <c r="C40" s="12">
        <v>139.9</v>
      </c>
      <c r="D40" s="14">
        <v>284</v>
      </c>
      <c r="E40" s="15">
        <f t="shared" si="0"/>
        <v>2191.7865429234339</v>
      </c>
      <c r="F40" s="8">
        <v>19.399999999999999</v>
      </c>
      <c r="G40" s="9">
        <f t="shared" si="1"/>
        <v>258.88118238324125</v>
      </c>
    </row>
    <row r="41" spans="2:7" hidden="1">
      <c r="B41" s="7">
        <v>18000</v>
      </c>
      <c r="C41" s="12">
        <v>142</v>
      </c>
      <c r="D41" s="14">
        <v>271.7</v>
      </c>
      <c r="E41" s="15">
        <f t="shared" si="0"/>
        <v>2455.3596287703017</v>
      </c>
      <c r="F41" s="8">
        <v>19.100000000000001</v>
      </c>
      <c r="G41" s="9">
        <f t="shared" si="1"/>
        <v>289.25490441671496</v>
      </c>
    </row>
    <row r="42" spans="2:7" hidden="1">
      <c r="B42" s="7">
        <v>20000</v>
      </c>
      <c r="C42" s="12">
        <v>144.1</v>
      </c>
      <c r="D42" s="14">
        <v>259.7</v>
      </c>
      <c r="E42" s="15">
        <f t="shared" si="0"/>
        <v>2707.5174013921114</v>
      </c>
      <c r="F42" s="8">
        <v>18.8</v>
      </c>
      <c r="G42" s="9">
        <f t="shared" si="1"/>
        <v>319.15892971771228</v>
      </c>
    </row>
    <row r="43" spans="2:7" hidden="1">
      <c r="B43" s="7">
        <v>22000</v>
      </c>
      <c r="C43" s="12">
        <v>146.19999999999999</v>
      </c>
      <c r="D43" s="14">
        <v>248</v>
      </c>
      <c r="E43" s="15">
        <f t="shared" si="0"/>
        <v>2948.538283062645</v>
      </c>
      <c r="F43" s="8">
        <v>18.5</v>
      </c>
      <c r="G43" s="9">
        <f t="shared" si="1"/>
        <v>348.59325828623321</v>
      </c>
    </row>
    <row r="44" spans="2:7" hidden="1">
      <c r="B44" s="7">
        <v>24000</v>
      </c>
      <c r="C44" s="12">
        <v>148.4</v>
      </c>
      <c r="D44" s="14">
        <v>236.7</v>
      </c>
      <c r="E44" s="15">
        <f t="shared" si="0"/>
        <v>3178.7006960556846</v>
      </c>
      <c r="F44" s="8">
        <v>18.2</v>
      </c>
      <c r="G44" s="9">
        <f t="shared" si="1"/>
        <v>377.55789012227774</v>
      </c>
    </row>
    <row r="45" spans="2:7" hidden="1">
      <c r="B45" s="7">
        <v>26000</v>
      </c>
      <c r="C45" s="12">
        <v>150.19999999999999</v>
      </c>
      <c r="D45" s="14">
        <v>225.7</v>
      </c>
      <c r="E45" s="15">
        <f t="shared" si="0"/>
        <v>3398.3758700696058</v>
      </c>
      <c r="F45" s="8">
        <v>17.899999999999999</v>
      </c>
      <c r="G45" s="9">
        <f t="shared" si="1"/>
        <v>406.05282522584588</v>
      </c>
    </row>
    <row r="46" spans="2:7" hidden="1">
      <c r="B46" s="7">
        <v>28000</v>
      </c>
      <c r="C46" s="12">
        <v>144.9</v>
      </c>
      <c r="D46" s="14">
        <v>213.5</v>
      </c>
      <c r="E46" s="15">
        <f t="shared" si="0"/>
        <v>3607.8422273781903</v>
      </c>
      <c r="F46" s="8">
        <v>17.600000000000001</v>
      </c>
      <c r="G46" s="9">
        <f t="shared" si="1"/>
        <v>434.07806359693762</v>
      </c>
    </row>
    <row r="47" spans="2:7" hidden="1">
      <c r="B47" s="7">
        <v>29000</v>
      </c>
      <c r="C47" s="12">
        <v>142.6</v>
      </c>
      <c r="D47" s="14">
        <v>205.8</v>
      </c>
      <c r="E47" s="15">
        <f t="shared" si="0"/>
        <v>3706.9141531322507</v>
      </c>
      <c r="F47" s="8">
        <v>17.5</v>
      </c>
      <c r="G47" s="9">
        <f t="shared" si="1"/>
        <v>447.85583441624527</v>
      </c>
    </row>
    <row r="48" spans="2:7" hidden="1">
      <c r="B48" s="7">
        <v>31000</v>
      </c>
      <c r="C48" s="12">
        <v>139</v>
      </c>
      <c r="D48" s="14">
        <v>191</v>
      </c>
      <c r="E48" s="15">
        <f t="shared" si="0"/>
        <v>3897.911832946636</v>
      </c>
      <c r="F48" s="8">
        <v>17.2</v>
      </c>
      <c r="G48" s="9">
        <f t="shared" si="1"/>
        <v>475.25481047736849</v>
      </c>
    </row>
    <row r="49" spans="1:10" hidden="1">
      <c r="B49" s="7">
        <v>33000</v>
      </c>
      <c r="C49" s="12">
        <v>136.6</v>
      </c>
      <c r="D49" s="14">
        <v>177.2</v>
      </c>
      <c r="E49" s="15">
        <f t="shared" si="0"/>
        <v>4075.1740139211138</v>
      </c>
      <c r="F49" s="8">
        <v>16.899999999999999</v>
      </c>
      <c r="G49" s="9">
        <f t="shared" si="1"/>
        <v>502.18408980601532</v>
      </c>
    </row>
    <row r="50" spans="1:10" hidden="1">
      <c r="B50" s="7">
        <v>35000</v>
      </c>
      <c r="C50" s="12">
        <v>135.4</v>
      </c>
      <c r="D50" s="14">
        <v>164.4</v>
      </c>
      <c r="E50" s="15">
        <f t="shared" si="0"/>
        <v>4239.6287703016242</v>
      </c>
      <c r="F50" s="8">
        <v>16.600000000000001</v>
      </c>
      <c r="G50" s="9">
        <f t="shared" si="1"/>
        <v>528.64367240218576</v>
      </c>
    </row>
    <row r="51" spans="1:10" hidden="1">
      <c r="B51" s="7">
        <v>37000</v>
      </c>
      <c r="C51" s="12">
        <v>135.69999999999999</v>
      </c>
      <c r="D51" s="14">
        <v>153</v>
      </c>
      <c r="E51" s="15">
        <f t="shared" si="0"/>
        <v>4392.2041763341067</v>
      </c>
      <c r="F51" s="8">
        <v>16.3</v>
      </c>
      <c r="G51" s="9">
        <f t="shared" si="1"/>
        <v>554.63355826587974</v>
      </c>
    </row>
    <row r="52" spans="1:10" hidden="1">
      <c r="B52" s="7">
        <v>39000</v>
      </c>
      <c r="C52" s="12">
        <v>137.69999999999999</v>
      </c>
      <c r="D52" s="14">
        <v>142.9</v>
      </c>
      <c r="E52" s="15">
        <f t="shared" si="0"/>
        <v>4534.1995359628772</v>
      </c>
      <c r="F52" s="8">
        <v>16.100000000000001</v>
      </c>
      <c r="G52" s="9">
        <f t="shared" si="1"/>
        <v>580.15374739709739</v>
      </c>
    </row>
    <row r="53" spans="1:10" hidden="1">
      <c r="A53" s="1"/>
      <c r="B53" s="16">
        <v>41000</v>
      </c>
      <c r="C53" s="17">
        <v>130.9</v>
      </c>
      <c r="D53" s="19">
        <v>133.6</v>
      </c>
      <c r="E53" s="15">
        <f t="shared" si="0"/>
        <v>4666.8213457076572</v>
      </c>
      <c r="F53" s="18">
        <v>15.8</v>
      </c>
      <c r="G53" s="9">
        <f t="shared" si="1"/>
        <v>605.36080537333078</v>
      </c>
    </row>
    <row r="54" spans="1:10" hidden="1">
      <c r="B54" s="16">
        <v>43000</v>
      </c>
      <c r="C54" s="17">
        <v>122.6</v>
      </c>
      <c r="D54" s="19">
        <v>125.1</v>
      </c>
      <c r="E54" s="15">
        <f t="shared" si="0"/>
        <v>4790.8120649651974</v>
      </c>
      <c r="F54" s="18">
        <v>15.5</v>
      </c>
      <c r="G54" s="9">
        <f t="shared" si="1"/>
        <v>630.09816661708771</v>
      </c>
    </row>
    <row r="55" spans="1:10" hidden="1">
      <c r="B55" s="16"/>
      <c r="C55" s="17"/>
      <c r="D55" s="19"/>
      <c r="E55" s="15"/>
      <c r="F55" s="18"/>
      <c r="G55" s="9"/>
    </row>
    <row r="56" spans="1:10" hidden="1"/>
    <row r="57" spans="1:10" hidden="1"/>
    <row r="58" spans="1:10" hidden="1"/>
    <row r="59" spans="1:10" hidden="1"/>
    <row r="60" spans="1:10" hidden="1"/>
    <row r="61" spans="1:10" hidden="1"/>
    <row r="62" spans="1:10" hidden="1">
      <c r="H62" s="21">
        <f>INT((H11+H12+H13)/60)</f>
        <v>5</v>
      </c>
      <c r="I62" s="20">
        <f>((H11+H12+H13)/60)-H62</f>
        <v>0.42306519675618404</v>
      </c>
      <c r="J62" s="21">
        <f>INT(I62*60)</f>
        <v>25</v>
      </c>
    </row>
  </sheetData>
  <mergeCells count="37">
    <mergeCell ref="I3:J3"/>
    <mergeCell ref="I4:J4"/>
    <mergeCell ref="I5:J5"/>
    <mergeCell ref="E6:G6"/>
    <mergeCell ref="I6:J6"/>
    <mergeCell ref="A9:I9"/>
    <mergeCell ref="J9:L9"/>
    <mergeCell ref="A11:B11"/>
    <mergeCell ref="A1:G1"/>
    <mergeCell ref="D26:E26"/>
    <mergeCell ref="F26:G26"/>
    <mergeCell ref="J1:L1"/>
    <mergeCell ref="B2:G3"/>
    <mergeCell ref="I2:J2"/>
    <mergeCell ref="C15:F15"/>
    <mergeCell ref="A16:B16"/>
    <mergeCell ref="J16:L16"/>
    <mergeCell ref="A17:B17"/>
    <mergeCell ref="J17:L17"/>
    <mergeCell ref="A12:B12"/>
    <mergeCell ref="A13:B13"/>
    <mergeCell ref="A14:B14"/>
    <mergeCell ref="A15:B15"/>
    <mergeCell ref="A20:B20"/>
    <mergeCell ref="I20:J20"/>
    <mergeCell ref="A21:B21"/>
    <mergeCell ref="I21:J21"/>
    <mergeCell ref="A18:B18"/>
    <mergeCell ref="I18:J18"/>
    <mergeCell ref="A19:B19"/>
    <mergeCell ref="I19:J19"/>
    <mergeCell ref="I24:J24"/>
    <mergeCell ref="A22:B22"/>
    <mergeCell ref="I22:J22"/>
    <mergeCell ref="A23:B23"/>
    <mergeCell ref="C23:G23"/>
    <mergeCell ref="H23:J23"/>
  </mergeCells>
  <phoneticPr fontId="0" type="noConversion"/>
  <conditionalFormatting sqref="K20 K24">
    <cfRule type="cellIs" priority="1" stopIfTrue="1" operator="equal">
      <formula>0</formula>
    </cfRule>
  </conditionalFormatting>
  <pageMargins left="0.78749999999999998" right="0.78749999999999998" top="0.78749999999999998" bottom="0.78749999999999998" header="9.8611111111111122E-2" footer="9.8611111111111122E-2"/>
  <pageSetup paperSize="9" fitToHeight="0" orientation="portrait" horizontalDpi="300" verticalDpi="300" r:id="rId1"/>
  <headerFooter alignWithMargins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 enableFormatConditionsCalculation="0">
    <tabColor indexed="11"/>
  </sheetPr>
  <dimension ref="A1:O66"/>
  <sheetViews>
    <sheetView showGridLines="0" tabSelected="1" workbookViewId="0">
      <selection activeCell="C21" sqref="C21"/>
    </sheetView>
  </sheetViews>
  <sheetFormatPr defaultColWidth="11.7109375" defaultRowHeight="12.75"/>
  <cols>
    <col min="1" max="1" width="14.7109375" customWidth="1"/>
    <col min="2" max="2" width="10.5703125" customWidth="1"/>
    <col min="3" max="3" width="13.42578125" customWidth="1"/>
    <col min="4" max="4" width="11.140625" customWidth="1"/>
    <col min="5" max="5" width="9.7109375" customWidth="1"/>
    <col min="6" max="6" width="13.5703125" customWidth="1"/>
    <col min="7" max="7" width="11.85546875" customWidth="1"/>
    <col min="8" max="8" width="9.28515625" customWidth="1"/>
    <col min="9" max="9" width="10" customWidth="1"/>
    <col min="10" max="10" width="14.85546875" customWidth="1"/>
    <col min="11" max="11" width="16.28515625" customWidth="1"/>
    <col min="12" max="12" width="14.85546875" customWidth="1"/>
    <col min="13" max="15" width="11.7109375" customWidth="1"/>
    <col min="16" max="16" width="12.7109375" customWidth="1"/>
  </cols>
  <sheetData>
    <row r="1" spans="1:15" ht="27.6" customHeight="1">
      <c r="A1" s="122" t="s">
        <v>55</v>
      </c>
      <c r="B1" s="123"/>
      <c r="C1" s="123"/>
      <c r="D1" s="123"/>
      <c r="E1" s="123"/>
      <c r="F1" s="123"/>
      <c r="G1" s="124"/>
      <c r="H1" s="84"/>
      <c r="I1" s="84"/>
      <c r="J1" s="119" t="s">
        <v>45</v>
      </c>
      <c r="K1" s="119"/>
      <c r="L1" s="120"/>
    </row>
    <row r="2" spans="1:15" ht="12.6" customHeight="1">
      <c r="A2" s="85"/>
      <c r="B2" s="125" t="s">
        <v>44</v>
      </c>
      <c r="C2" s="125"/>
      <c r="D2" s="125"/>
      <c r="E2" s="125"/>
      <c r="F2" s="125"/>
      <c r="G2" s="125"/>
      <c r="H2" s="23"/>
      <c r="I2" s="130" t="s">
        <v>40</v>
      </c>
      <c r="J2" s="130"/>
      <c r="K2" s="28">
        <v>116573</v>
      </c>
      <c r="L2" s="87">
        <f>K2/0.453</f>
        <v>257335.54083885209</v>
      </c>
    </row>
    <row r="3" spans="1:15">
      <c r="A3" s="88"/>
      <c r="B3" s="126"/>
      <c r="C3" s="126"/>
      <c r="D3" s="126"/>
      <c r="E3" s="126"/>
      <c r="F3" s="126"/>
      <c r="G3" s="126"/>
      <c r="H3" s="89"/>
      <c r="I3" s="130" t="s">
        <v>54</v>
      </c>
      <c r="J3" s="130"/>
      <c r="K3" s="74">
        <v>209106</v>
      </c>
      <c r="L3" s="90">
        <f>K3/0.453</f>
        <v>461602.64900662249</v>
      </c>
    </row>
    <row r="4" spans="1:15">
      <c r="A4" s="88"/>
      <c r="B4" s="91"/>
      <c r="C4" s="92" t="s">
        <v>15</v>
      </c>
      <c r="D4" s="93" t="s">
        <v>0</v>
      </c>
      <c r="E4" s="89"/>
      <c r="F4" s="94" t="s">
        <v>16</v>
      </c>
      <c r="G4" s="89"/>
      <c r="H4" s="89"/>
      <c r="I4" s="130" t="s">
        <v>42</v>
      </c>
      <c r="J4" s="130"/>
      <c r="K4" s="28">
        <v>287124</v>
      </c>
      <c r="L4" s="87">
        <f>K4/0.453</f>
        <v>633827.81456953636</v>
      </c>
    </row>
    <row r="5" spans="1:15">
      <c r="A5" s="88"/>
      <c r="B5" s="95" t="s">
        <v>50</v>
      </c>
      <c r="C5" s="96" t="s">
        <v>27</v>
      </c>
      <c r="D5" s="97">
        <v>0.8</v>
      </c>
      <c r="E5" s="89"/>
      <c r="F5" s="98">
        <v>43000</v>
      </c>
      <c r="G5" s="89"/>
      <c r="H5" s="89"/>
      <c r="I5" s="130" t="s">
        <v>41</v>
      </c>
      <c r="J5" s="130"/>
      <c r="K5" s="28">
        <v>222924</v>
      </c>
      <c r="L5" s="87">
        <f>K5/0.453</f>
        <v>492105.96026490064</v>
      </c>
    </row>
    <row r="6" spans="1:15">
      <c r="A6" s="88"/>
      <c r="B6" s="95" t="s">
        <v>30</v>
      </c>
      <c r="C6" s="96" t="s">
        <v>28</v>
      </c>
      <c r="D6" s="97">
        <v>0.84</v>
      </c>
      <c r="E6" s="121" t="s">
        <v>14</v>
      </c>
      <c r="F6" s="121"/>
      <c r="G6" s="121"/>
      <c r="H6" s="89"/>
      <c r="I6" s="127"/>
      <c r="J6" s="127"/>
      <c r="K6" s="28"/>
      <c r="L6" s="87"/>
    </row>
    <row r="7" spans="1:15">
      <c r="A7" s="88"/>
      <c r="B7" s="95" t="s">
        <v>32</v>
      </c>
      <c r="C7" s="99" t="s">
        <v>29</v>
      </c>
      <c r="D7" s="97">
        <v>0.8</v>
      </c>
      <c r="E7" s="89"/>
      <c r="F7" s="99">
        <v>322</v>
      </c>
      <c r="G7" s="89"/>
      <c r="H7" s="89"/>
      <c r="I7" s="89"/>
      <c r="J7" s="86"/>
      <c r="K7" s="28"/>
      <c r="L7" s="87"/>
    </row>
    <row r="8" spans="1:15" ht="13.5" thickBot="1">
      <c r="A8" s="100"/>
      <c r="B8" s="101"/>
      <c r="C8" s="102"/>
      <c r="D8" s="102"/>
      <c r="E8" s="101"/>
      <c r="F8" s="101"/>
      <c r="G8" s="101"/>
      <c r="H8" s="101"/>
      <c r="I8" s="101"/>
      <c r="J8" s="101"/>
      <c r="K8" s="103"/>
      <c r="L8" s="104"/>
    </row>
    <row r="9" spans="1:15" ht="19.350000000000001" customHeight="1">
      <c r="A9" s="128" t="s">
        <v>51</v>
      </c>
      <c r="B9" s="129"/>
      <c r="C9" s="129"/>
      <c r="D9" s="129"/>
      <c r="E9" s="129"/>
      <c r="F9" s="129"/>
      <c r="G9" s="129"/>
      <c r="H9" s="129"/>
      <c r="I9" s="129"/>
      <c r="J9" s="129" t="s">
        <v>26</v>
      </c>
      <c r="K9" s="129"/>
      <c r="L9" s="141"/>
    </row>
    <row r="10" spans="1:15">
      <c r="A10" s="29"/>
      <c r="B10" s="30" t="s">
        <v>12</v>
      </c>
      <c r="C10" s="83" t="s">
        <v>52</v>
      </c>
      <c r="D10" s="83" t="s">
        <v>53</v>
      </c>
      <c r="E10" s="27" t="s">
        <v>43</v>
      </c>
      <c r="F10" s="27" t="s">
        <v>1</v>
      </c>
      <c r="G10" s="27" t="s">
        <v>7</v>
      </c>
      <c r="H10" s="27" t="s">
        <v>8</v>
      </c>
      <c r="I10" s="27" t="s">
        <v>13</v>
      </c>
      <c r="J10" s="31"/>
      <c r="K10" s="32"/>
      <c r="L10" s="33"/>
    </row>
    <row r="11" spans="1:15">
      <c r="A11" s="114" t="s">
        <v>31</v>
      </c>
      <c r="B11" s="116"/>
      <c r="C11" s="55">
        <v>300</v>
      </c>
      <c r="D11" s="34">
        <f>C11-C21</f>
        <v>250</v>
      </c>
      <c r="E11" s="56">
        <v>8.6199999999999999E-2</v>
      </c>
      <c r="F11" s="35">
        <f>(E11*D11)*100</f>
        <v>2155</v>
      </c>
      <c r="G11" s="36">
        <f>C17/((E11*60)*100)</f>
        <v>71.539056457849966</v>
      </c>
      <c r="H11" s="37">
        <f>(60/D11)*G11</f>
        <v>17.169373549883993</v>
      </c>
      <c r="I11" s="38">
        <f>VLOOKUP(C17,B26:E55,4)</f>
        <v>4392.2041763341067</v>
      </c>
      <c r="J11" s="41" t="s">
        <v>22</v>
      </c>
      <c r="K11" s="81">
        <v>90000</v>
      </c>
      <c r="L11" s="64">
        <f>K11/0.453</f>
        <v>198675.49668874172</v>
      </c>
    </row>
    <row r="12" spans="1:15" ht="13.5" thickBot="1">
      <c r="A12" s="114" t="s">
        <v>30</v>
      </c>
      <c r="B12" s="116"/>
      <c r="C12" s="55">
        <v>290</v>
      </c>
      <c r="D12" s="34">
        <f>(((C17/600)*0.0122)*C12)+C12-C21</f>
        <v>458.17666666666662</v>
      </c>
      <c r="E12" s="40"/>
      <c r="F12" s="35"/>
      <c r="G12" s="36">
        <f>C19-(G11+G13)</f>
        <v>2132.4298548373126</v>
      </c>
      <c r="H12" s="37">
        <f>(60/D12)*G12</f>
        <v>279.24990641944254</v>
      </c>
      <c r="I12" s="38">
        <f>VLOOKUP(C17,B28:C532,2)*H12</f>
        <v>37894.21230111835</v>
      </c>
      <c r="J12" s="41"/>
      <c r="K12" s="166"/>
      <c r="L12" s="65"/>
      <c r="N12" s="2"/>
      <c r="O12" s="2"/>
    </row>
    <row r="13" spans="1:15" ht="14.25" thickTop="1" thickBot="1">
      <c r="A13" s="114" t="s">
        <v>32</v>
      </c>
      <c r="B13" s="116"/>
      <c r="C13" s="55">
        <v>280</v>
      </c>
      <c r="D13" s="34">
        <f>C13-C21</f>
        <v>230</v>
      </c>
      <c r="E13" s="56">
        <v>5.5539999999999999E-2</v>
      </c>
      <c r="F13" s="35">
        <f>(E13*D13)*100</f>
        <v>1277.42</v>
      </c>
      <c r="G13" s="36">
        <f>C17/((E13*60)*100)</f>
        <v>111.03108870483734</v>
      </c>
      <c r="H13" s="37">
        <f>(60/D13)*G13</f>
        <v>28.964631836044525</v>
      </c>
      <c r="I13" s="38">
        <f>VLOOKUP(C17,B26:G532,6)</f>
        <v>554.63355826587974</v>
      </c>
      <c r="J13" s="41" t="s">
        <v>23</v>
      </c>
      <c r="K13" s="167">
        <f>IF((K2+K11)&lt;K3,K2+K11,"MZFW!!")</f>
        <v>206573</v>
      </c>
      <c r="L13" s="168">
        <f>K13/0.453</f>
        <v>456011.03752759378</v>
      </c>
    </row>
    <row r="14" spans="1:15" ht="13.5" thickTop="1">
      <c r="A14" s="117"/>
      <c r="B14" s="118"/>
      <c r="C14" s="42"/>
      <c r="D14" s="43"/>
      <c r="E14" s="44"/>
      <c r="F14" s="45"/>
      <c r="G14" s="46"/>
      <c r="H14" s="47"/>
      <c r="I14" s="25"/>
      <c r="J14" s="41" t="s">
        <v>24</v>
      </c>
      <c r="K14" s="63">
        <f>IF((K13+K19+K20)&lt;K5,K13+K19+K20,"MLW!!")</f>
        <v>209573</v>
      </c>
      <c r="L14" s="64">
        <f>K14/0.453</f>
        <v>462633.55408388522</v>
      </c>
    </row>
    <row r="15" spans="1:15">
      <c r="A15" s="114" t="s">
        <v>34</v>
      </c>
      <c r="B15" s="115"/>
      <c r="C15" s="143" t="s">
        <v>49</v>
      </c>
      <c r="D15" s="143"/>
      <c r="E15" s="143"/>
      <c r="F15" s="144"/>
      <c r="G15" s="78">
        <v>200</v>
      </c>
      <c r="H15" s="76">
        <f>(60/D12)*G15</f>
        <v>26.190770663426775</v>
      </c>
      <c r="I15" s="77">
        <f>VLOOKUP(C17,B28:C52,2)*H15</f>
        <v>3554.0875790270129</v>
      </c>
      <c r="J15" s="26"/>
      <c r="K15" s="25"/>
      <c r="L15" s="48"/>
    </row>
    <row r="16" spans="1:15" ht="18">
      <c r="A16" s="117"/>
      <c r="B16" s="118"/>
      <c r="C16" s="24"/>
      <c r="D16" s="24"/>
      <c r="E16" s="24"/>
      <c r="F16" s="24"/>
      <c r="G16" s="49"/>
      <c r="H16" s="50"/>
      <c r="I16" s="51"/>
      <c r="J16" s="139" t="s">
        <v>17</v>
      </c>
      <c r="K16" s="139"/>
      <c r="L16" s="140"/>
    </row>
    <row r="17" spans="1:12" ht="14.25" customHeight="1">
      <c r="A17" s="135" t="s">
        <v>33</v>
      </c>
      <c r="B17" s="136"/>
      <c r="C17" s="57">
        <v>37000</v>
      </c>
      <c r="D17" s="109">
        <f>C17*0.3048</f>
        <v>11277.6</v>
      </c>
      <c r="E17" s="24"/>
      <c r="F17" s="24"/>
      <c r="G17" s="24"/>
      <c r="H17" s="24"/>
      <c r="I17" s="24"/>
      <c r="J17" s="139"/>
      <c r="K17" s="139"/>
      <c r="L17" s="140"/>
    </row>
    <row r="18" spans="1:12">
      <c r="A18" s="117"/>
      <c r="B18" s="118"/>
      <c r="C18" s="42"/>
      <c r="D18" s="110"/>
      <c r="E18" s="75"/>
      <c r="F18" s="79"/>
      <c r="G18" s="24"/>
      <c r="H18" s="24"/>
      <c r="I18" s="115" t="s">
        <v>18</v>
      </c>
      <c r="J18" s="116"/>
      <c r="K18" s="66">
        <v>700</v>
      </c>
      <c r="L18" s="68">
        <f>K18/0.453</f>
        <v>1545.2538631346579</v>
      </c>
    </row>
    <row r="19" spans="1:12">
      <c r="A19" s="114" t="s">
        <v>21</v>
      </c>
      <c r="B19" s="116"/>
      <c r="C19" s="58">
        <v>2315</v>
      </c>
      <c r="D19" s="111">
        <f>C19*1.852</f>
        <v>4287.38</v>
      </c>
      <c r="E19" s="75"/>
      <c r="F19" s="80"/>
      <c r="G19" s="24"/>
      <c r="H19" s="24"/>
      <c r="I19" s="115" t="s">
        <v>20</v>
      </c>
      <c r="J19" s="148"/>
      <c r="K19" s="22">
        <v>1000</v>
      </c>
      <c r="L19" s="69">
        <f>K19/0.453</f>
        <v>2207.5055187637968</v>
      </c>
    </row>
    <row r="20" spans="1:12">
      <c r="A20" s="117"/>
      <c r="B20" s="118"/>
      <c r="C20" s="24"/>
      <c r="D20" s="110"/>
      <c r="E20" s="75"/>
      <c r="F20" s="80"/>
      <c r="G20" s="24"/>
      <c r="H20" s="24"/>
      <c r="I20" s="115" t="s">
        <v>19</v>
      </c>
      <c r="J20" s="115"/>
      <c r="K20" s="67">
        <v>2000</v>
      </c>
      <c r="L20" s="68">
        <f>K20/0.453</f>
        <v>4415.0110375275935</v>
      </c>
    </row>
    <row r="21" spans="1:12">
      <c r="A21" s="114" t="s">
        <v>35</v>
      </c>
      <c r="B21" s="116"/>
      <c r="C21" s="55">
        <v>50</v>
      </c>
      <c r="D21" s="112">
        <f>C21*1.852</f>
        <v>92.600000000000009</v>
      </c>
      <c r="E21" s="24"/>
      <c r="F21" s="24"/>
      <c r="G21" s="24"/>
      <c r="H21" s="24"/>
      <c r="I21" s="115" t="s">
        <v>38</v>
      </c>
      <c r="J21" s="115"/>
      <c r="K21" s="70">
        <f>IF((K4-K13)&lt;128505,K4-K13,128505)</f>
        <v>80551</v>
      </c>
      <c r="L21" s="71">
        <f>K21/0.453</f>
        <v>177816.77704194261</v>
      </c>
    </row>
    <row r="22" spans="1:12" ht="13.5" thickBot="1">
      <c r="A22" s="131" t="s">
        <v>36</v>
      </c>
      <c r="B22" s="132"/>
      <c r="C22" s="24"/>
      <c r="D22" s="24"/>
      <c r="E22" s="24"/>
      <c r="F22" s="24"/>
      <c r="G22" s="24"/>
      <c r="H22" s="24"/>
      <c r="I22" s="146"/>
      <c r="J22" s="146"/>
      <c r="K22" s="161"/>
      <c r="L22" s="33"/>
    </row>
    <row r="23" spans="1:12" ht="21" thickTop="1" thickBot="1">
      <c r="A23" s="133"/>
      <c r="B23" s="134"/>
      <c r="C23" s="145" t="str">
        <f>CONCATENATE("Время в полете - ",H62," час  ",J62," мин")</f>
        <v>Время в полете - 5 час  25 мин</v>
      </c>
      <c r="D23" s="145"/>
      <c r="E23" s="145"/>
      <c r="F23" s="145"/>
      <c r="G23" s="145"/>
      <c r="H23" s="147" t="s">
        <v>39</v>
      </c>
      <c r="I23" s="147"/>
      <c r="J23" s="150"/>
      <c r="K23" s="149">
        <f>IF(SUM(I11:I15,K18,K19,K20)&lt;K21,SUM(I11:I15,K18,K19,K20),"FUEL MAX!")</f>
        <v>50095.137614745348</v>
      </c>
      <c r="L23" s="152">
        <f>K23/0.453</f>
        <v>110585.29274778222</v>
      </c>
    </row>
    <row r="24" spans="1:12" ht="20.25" customHeight="1" thickTop="1" thickBot="1">
      <c r="A24" s="53"/>
      <c r="B24" s="54"/>
      <c r="C24" s="82"/>
      <c r="D24" s="54"/>
      <c r="E24" s="54"/>
      <c r="F24" s="54"/>
      <c r="G24" s="54"/>
      <c r="H24" s="54"/>
      <c r="I24" s="142" t="s">
        <v>9</v>
      </c>
      <c r="J24" s="142"/>
      <c r="K24" s="169">
        <f>IF((K13+K23)&lt;K4,K13+K23,"MTOW!!")</f>
        <v>256668.13761474536</v>
      </c>
      <c r="L24" s="153">
        <f>K24/0.453</f>
        <v>566596.33027537609</v>
      </c>
    </row>
    <row r="25" spans="1:12" hidden="1"/>
    <row r="26" spans="1:12" hidden="1">
      <c r="B26" s="3" t="s">
        <v>10</v>
      </c>
      <c r="C26" s="10" t="s">
        <v>2</v>
      </c>
      <c r="D26" s="137" t="s">
        <v>3</v>
      </c>
      <c r="E26" s="137"/>
      <c r="F26" s="138" t="s">
        <v>4</v>
      </c>
      <c r="G26" s="138"/>
    </row>
    <row r="27" spans="1:12" hidden="1">
      <c r="B27" s="5"/>
      <c r="C27" s="11" t="s">
        <v>5</v>
      </c>
      <c r="D27" s="13" t="s">
        <v>5</v>
      </c>
      <c r="E27" s="13" t="s">
        <v>6</v>
      </c>
      <c r="F27" s="6" t="s">
        <v>5</v>
      </c>
      <c r="G27" s="6" t="s">
        <v>6</v>
      </c>
    </row>
    <row r="28" spans="1:12" hidden="1">
      <c r="B28" s="7">
        <v>0</v>
      </c>
      <c r="C28" s="12"/>
      <c r="D28" s="14">
        <v>295.8</v>
      </c>
      <c r="E28" s="13"/>
      <c r="F28" s="8">
        <v>21.7</v>
      </c>
      <c r="G28" s="4"/>
    </row>
    <row r="29" spans="1:12" hidden="1">
      <c r="B29" s="7">
        <v>500</v>
      </c>
      <c r="C29" s="12"/>
      <c r="D29" s="14">
        <v>292.8</v>
      </c>
      <c r="E29" s="15">
        <f>((B29-B28)/$F$11)*D28</f>
        <v>68.631090487238978</v>
      </c>
      <c r="F29" s="8">
        <v>21.6</v>
      </c>
      <c r="G29" s="9">
        <f>((B29-B28)/$F$13)*F28</f>
        <v>8.4936825789481922</v>
      </c>
    </row>
    <row r="30" spans="1:12" hidden="1">
      <c r="B30" s="7">
        <v>1000</v>
      </c>
      <c r="C30" s="12"/>
      <c r="D30" s="14">
        <v>289.8</v>
      </c>
      <c r="E30" s="15">
        <f t="shared" ref="E30:E54" si="0">(((B30-B29)/$F$11)*D29)+E29</f>
        <v>136.56612529002319</v>
      </c>
      <c r="F30" s="8">
        <v>21.6</v>
      </c>
      <c r="G30" s="9">
        <f t="shared" ref="G30:G54" si="1">(((B30-B29)/$F$13)*F29)+G29</f>
        <v>16.948223763523352</v>
      </c>
    </row>
    <row r="31" spans="1:12" hidden="1">
      <c r="B31" s="7">
        <v>1500</v>
      </c>
      <c r="C31" s="12"/>
      <c r="D31" s="14">
        <v>290.2</v>
      </c>
      <c r="E31" s="15">
        <f t="shared" si="0"/>
        <v>203.80510440835266</v>
      </c>
      <c r="F31" s="8">
        <v>21.5</v>
      </c>
      <c r="G31" s="9">
        <f t="shared" si="1"/>
        <v>25.402764948098511</v>
      </c>
    </row>
    <row r="32" spans="1:12" hidden="1">
      <c r="B32" s="7">
        <v>2000</v>
      </c>
      <c r="C32" s="12"/>
      <c r="D32" s="14">
        <v>287.2</v>
      </c>
      <c r="E32" s="15">
        <f t="shared" si="0"/>
        <v>271.13689095127609</v>
      </c>
      <c r="F32" s="8">
        <v>21.4</v>
      </c>
      <c r="G32" s="9">
        <f t="shared" si="1"/>
        <v>33.818164738300638</v>
      </c>
    </row>
    <row r="33" spans="2:7" hidden="1">
      <c r="B33" s="7">
        <v>3000</v>
      </c>
      <c r="C33" s="12">
        <v>96.2</v>
      </c>
      <c r="D33" s="14">
        <v>294.39999999999998</v>
      </c>
      <c r="E33" s="15">
        <f t="shared" si="0"/>
        <v>404.40835266821341</v>
      </c>
      <c r="F33" s="8">
        <v>21.3</v>
      </c>
      <c r="G33" s="9">
        <f t="shared" si="1"/>
        <v>50.570681529958819</v>
      </c>
    </row>
    <row r="34" spans="2:7" hidden="1">
      <c r="B34" s="7">
        <v>4000</v>
      </c>
      <c r="C34" s="12">
        <v>96.9</v>
      </c>
      <c r="D34" s="14">
        <v>307.7</v>
      </c>
      <c r="E34" s="15">
        <f t="shared" si="0"/>
        <v>541.02088167053353</v>
      </c>
      <c r="F34" s="8">
        <v>21.1</v>
      </c>
      <c r="G34" s="9">
        <f t="shared" si="1"/>
        <v>67.244915532870934</v>
      </c>
    </row>
    <row r="35" spans="2:7" hidden="1">
      <c r="B35" s="7">
        <v>6000</v>
      </c>
      <c r="C35" s="12">
        <v>98.1</v>
      </c>
      <c r="D35" s="14">
        <v>300.39999999999998</v>
      </c>
      <c r="E35" s="15">
        <f t="shared" si="0"/>
        <v>826.58932714617163</v>
      </c>
      <c r="F35" s="8">
        <v>20.8</v>
      </c>
      <c r="G35" s="9">
        <f t="shared" si="1"/>
        <v>100.28025238371092</v>
      </c>
    </row>
    <row r="36" spans="2:7" hidden="1">
      <c r="B36" s="7">
        <v>8000</v>
      </c>
      <c r="C36" s="12">
        <v>99.7</v>
      </c>
      <c r="D36" s="14">
        <v>288.2</v>
      </c>
      <c r="E36" s="15">
        <f t="shared" si="0"/>
        <v>1105.38283062645</v>
      </c>
      <c r="F36" s="8">
        <v>20.5</v>
      </c>
      <c r="G36" s="9">
        <f t="shared" si="1"/>
        <v>132.84589250207449</v>
      </c>
    </row>
    <row r="37" spans="2:7" hidden="1">
      <c r="B37" s="7">
        <v>10000</v>
      </c>
      <c r="C37" s="12">
        <v>101.3</v>
      </c>
      <c r="D37" s="14">
        <v>276.3</v>
      </c>
      <c r="E37" s="15">
        <f t="shared" si="0"/>
        <v>1372.8538283062644</v>
      </c>
      <c r="F37" s="8">
        <v>20.3</v>
      </c>
      <c r="G37" s="9">
        <f t="shared" si="1"/>
        <v>164.94183588796167</v>
      </c>
    </row>
    <row r="38" spans="2:7" hidden="1">
      <c r="B38" s="7">
        <v>12000</v>
      </c>
      <c r="C38" s="12">
        <v>103</v>
      </c>
      <c r="D38" s="14">
        <v>309.5</v>
      </c>
      <c r="E38" s="15">
        <f t="shared" si="0"/>
        <v>1629.2807424593966</v>
      </c>
      <c r="F38" s="8">
        <v>20</v>
      </c>
      <c r="G38" s="9">
        <f t="shared" si="1"/>
        <v>196.72464811886459</v>
      </c>
    </row>
    <row r="39" spans="2:7" hidden="1">
      <c r="B39" s="7">
        <v>14000</v>
      </c>
      <c r="C39" s="12">
        <v>104.8</v>
      </c>
      <c r="D39" s="14">
        <v>296.60000000000002</v>
      </c>
      <c r="E39" s="15">
        <f t="shared" si="0"/>
        <v>1916.5197215777262</v>
      </c>
      <c r="F39" s="8">
        <v>19.7</v>
      </c>
      <c r="G39" s="9">
        <f t="shared" si="1"/>
        <v>228.03776361729112</v>
      </c>
    </row>
    <row r="40" spans="2:7" hidden="1">
      <c r="B40" s="7">
        <v>16000</v>
      </c>
      <c r="C40" s="12">
        <v>139.9</v>
      </c>
      <c r="D40" s="14">
        <v>284</v>
      </c>
      <c r="E40" s="15">
        <f t="shared" si="0"/>
        <v>2191.7865429234339</v>
      </c>
      <c r="F40" s="8">
        <v>19.399999999999999</v>
      </c>
      <c r="G40" s="9">
        <f t="shared" si="1"/>
        <v>258.88118238324125</v>
      </c>
    </row>
    <row r="41" spans="2:7" hidden="1">
      <c r="B41" s="7">
        <v>18000</v>
      </c>
      <c r="C41" s="12">
        <v>142</v>
      </c>
      <c r="D41" s="14">
        <v>271.7</v>
      </c>
      <c r="E41" s="15">
        <f t="shared" si="0"/>
        <v>2455.3596287703017</v>
      </c>
      <c r="F41" s="8">
        <v>19.100000000000001</v>
      </c>
      <c r="G41" s="9">
        <f t="shared" si="1"/>
        <v>289.25490441671496</v>
      </c>
    </row>
    <row r="42" spans="2:7" hidden="1">
      <c r="B42" s="7">
        <v>20000</v>
      </c>
      <c r="C42" s="12">
        <v>144.1</v>
      </c>
      <c r="D42" s="14">
        <v>259.7</v>
      </c>
      <c r="E42" s="15">
        <f t="shared" si="0"/>
        <v>2707.5174013921114</v>
      </c>
      <c r="F42" s="8">
        <v>18.8</v>
      </c>
      <c r="G42" s="9">
        <f t="shared" si="1"/>
        <v>319.15892971771228</v>
      </c>
    </row>
    <row r="43" spans="2:7" hidden="1">
      <c r="B43" s="7">
        <v>22000</v>
      </c>
      <c r="C43" s="12">
        <v>146.19999999999999</v>
      </c>
      <c r="D43" s="14">
        <v>248</v>
      </c>
      <c r="E43" s="15">
        <f t="shared" si="0"/>
        <v>2948.538283062645</v>
      </c>
      <c r="F43" s="8">
        <v>18.5</v>
      </c>
      <c r="G43" s="9">
        <f t="shared" si="1"/>
        <v>348.59325828623321</v>
      </c>
    </row>
    <row r="44" spans="2:7" hidden="1">
      <c r="B44" s="7">
        <v>24000</v>
      </c>
      <c r="C44" s="12">
        <v>148.4</v>
      </c>
      <c r="D44" s="14">
        <v>236.7</v>
      </c>
      <c r="E44" s="15">
        <f t="shared" si="0"/>
        <v>3178.7006960556846</v>
      </c>
      <c r="F44" s="8">
        <v>18.2</v>
      </c>
      <c r="G44" s="9">
        <f t="shared" si="1"/>
        <v>377.55789012227774</v>
      </c>
    </row>
    <row r="45" spans="2:7" hidden="1">
      <c r="B45" s="7">
        <v>26000</v>
      </c>
      <c r="C45" s="12">
        <v>150.19999999999999</v>
      </c>
      <c r="D45" s="14">
        <v>225.7</v>
      </c>
      <c r="E45" s="15">
        <f t="shared" si="0"/>
        <v>3398.3758700696058</v>
      </c>
      <c r="F45" s="8">
        <v>17.899999999999999</v>
      </c>
      <c r="G45" s="9">
        <f t="shared" si="1"/>
        <v>406.05282522584588</v>
      </c>
    </row>
    <row r="46" spans="2:7" hidden="1">
      <c r="B46" s="7">
        <v>28000</v>
      </c>
      <c r="C46" s="12">
        <v>144.9</v>
      </c>
      <c r="D46" s="14">
        <v>213.5</v>
      </c>
      <c r="E46" s="15">
        <f t="shared" si="0"/>
        <v>3607.8422273781903</v>
      </c>
      <c r="F46" s="8">
        <v>17.600000000000001</v>
      </c>
      <c r="G46" s="9">
        <f t="shared" si="1"/>
        <v>434.07806359693762</v>
      </c>
    </row>
    <row r="47" spans="2:7" hidden="1">
      <c r="B47" s="7">
        <v>29000</v>
      </c>
      <c r="C47" s="12">
        <v>142.6</v>
      </c>
      <c r="D47" s="14">
        <v>205.8</v>
      </c>
      <c r="E47" s="15">
        <f t="shared" si="0"/>
        <v>3706.9141531322507</v>
      </c>
      <c r="F47" s="8">
        <v>17.5</v>
      </c>
      <c r="G47" s="9">
        <f t="shared" si="1"/>
        <v>447.85583441624527</v>
      </c>
    </row>
    <row r="48" spans="2:7" hidden="1">
      <c r="B48" s="7">
        <v>31000</v>
      </c>
      <c r="C48" s="12">
        <v>139</v>
      </c>
      <c r="D48" s="14">
        <v>191</v>
      </c>
      <c r="E48" s="15">
        <f t="shared" si="0"/>
        <v>3897.911832946636</v>
      </c>
      <c r="F48" s="8">
        <v>17.2</v>
      </c>
      <c r="G48" s="9">
        <f t="shared" si="1"/>
        <v>475.25481047736849</v>
      </c>
    </row>
    <row r="49" spans="1:10" hidden="1">
      <c r="B49" s="7">
        <v>33000</v>
      </c>
      <c r="C49" s="12">
        <v>136.6</v>
      </c>
      <c r="D49" s="14">
        <v>177.2</v>
      </c>
      <c r="E49" s="15">
        <f t="shared" si="0"/>
        <v>4075.1740139211138</v>
      </c>
      <c r="F49" s="8">
        <v>16.899999999999999</v>
      </c>
      <c r="G49" s="9">
        <f t="shared" si="1"/>
        <v>502.18408980601532</v>
      </c>
    </row>
    <row r="50" spans="1:10" hidden="1">
      <c r="B50" s="7">
        <v>35000</v>
      </c>
      <c r="C50" s="12">
        <v>135.4</v>
      </c>
      <c r="D50" s="14">
        <v>164.4</v>
      </c>
      <c r="E50" s="15">
        <f t="shared" si="0"/>
        <v>4239.6287703016242</v>
      </c>
      <c r="F50" s="8">
        <v>16.600000000000001</v>
      </c>
      <c r="G50" s="9">
        <f t="shared" si="1"/>
        <v>528.64367240218576</v>
      </c>
    </row>
    <row r="51" spans="1:10" hidden="1">
      <c r="B51" s="7">
        <v>37000</v>
      </c>
      <c r="C51" s="12">
        <v>135.69999999999999</v>
      </c>
      <c r="D51" s="14">
        <v>153</v>
      </c>
      <c r="E51" s="15">
        <f t="shared" si="0"/>
        <v>4392.2041763341067</v>
      </c>
      <c r="F51" s="8">
        <v>16.3</v>
      </c>
      <c r="G51" s="9">
        <f t="shared" si="1"/>
        <v>554.63355826587974</v>
      </c>
    </row>
    <row r="52" spans="1:10" hidden="1">
      <c r="B52" s="7">
        <v>39000</v>
      </c>
      <c r="C52" s="12">
        <v>137.69999999999999</v>
      </c>
      <c r="D52" s="14">
        <v>142.9</v>
      </c>
      <c r="E52" s="15">
        <f t="shared" si="0"/>
        <v>4534.1995359628772</v>
      </c>
      <c r="F52" s="8">
        <v>16.100000000000001</v>
      </c>
      <c r="G52" s="9">
        <f t="shared" si="1"/>
        <v>580.15374739709739</v>
      </c>
    </row>
    <row r="53" spans="1:10" hidden="1">
      <c r="A53" s="1"/>
      <c r="B53" s="16">
        <v>41000</v>
      </c>
      <c r="C53" s="17">
        <v>130.9</v>
      </c>
      <c r="D53" s="19">
        <v>133.6</v>
      </c>
      <c r="E53" s="15">
        <f t="shared" si="0"/>
        <v>4666.8213457076572</v>
      </c>
      <c r="F53" s="18">
        <v>15.8</v>
      </c>
      <c r="G53" s="9">
        <f t="shared" si="1"/>
        <v>605.36080537333078</v>
      </c>
    </row>
    <row r="54" spans="1:10" hidden="1">
      <c r="B54" s="16">
        <v>43000</v>
      </c>
      <c r="C54" s="17">
        <v>122.6</v>
      </c>
      <c r="D54" s="19">
        <v>125.1</v>
      </c>
      <c r="E54" s="15">
        <f t="shared" si="0"/>
        <v>4790.8120649651974</v>
      </c>
      <c r="F54" s="18">
        <v>15.5</v>
      </c>
      <c r="G54" s="9">
        <f t="shared" si="1"/>
        <v>630.09816661708771</v>
      </c>
    </row>
    <row r="55" spans="1:10" hidden="1">
      <c r="B55" s="16"/>
      <c r="C55" s="17"/>
      <c r="D55" s="19"/>
      <c r="E55" s="15"/>
      <c r="F55" s="18"/>
      <c r="G55" s="9"/>
    </row>
    <row r="56" spans="1:10" hidden="1"/>
    <row r="57" spans="1:10" hidden="1"/>
    <row r="58" spans="1:10" hidden="1"/>
    <row r="59" spans="1:10" hidden="1"/>
    <row r="60" spans="1:10" hidden="1"/>
    <row r="61" spans="1:10" hidden="1"/>
    <row r="62" spans="1:10" hidden="1">
      <c r="H62" s="21">
        <f>INT((H11+H12+H13)/60)</f>
        <v>5</v>
      </c>
      <c r="I62" s="20">
        <f>((H11+H12+H13)/60)-H62</f>
        <v>0.42306519675618404</v>
      </c>
      <c r="J62" s="21">
        <f>INT(I62*60)</f>
        <v>25</v>
      </c>
    </row>
    <row r="66" spans="13:13">
      <c r="M66" t="s">
        <v>56</v>
      </c>
    </row>
  </sheetData>
  <mergeCells count="37">
    <mergeCell ref="A20:B20"/>
    <mergeCell ref="I20:J20"/>
    <mergeCell ref="A21:B21"/>
    <mergeCell ref="I21:J21"/>
    <mergeCell ref="I24:J24"/>
    <mergeCell ref="A22:B22"/>
    <mergeCell ref="I22:J22"/>
    <mergeCell ref="A23:B23"/>
    <mergeCell ref="C23:G23"/>
    <mergeCell ref="H23:J23"/>
    <mergeCell ref="A16:B16"/>
    <mergeCell ref="J16:L16"/>
    <mergeCell ref="A18:B18"/>
    <mergeCell ref="I18:J18"/>
    <mergeCell ref="A19:B19"/>
    <mergeCell ref="I19:J19"/>
    <mergeCell ref="A12:B12"/>
    <mergeCell ref="A13:B13"/>
    <mergeCell ref="A14:B14"/>
    <mergeCell ref="A15:B15"/>
    <mergeCell ref="C15:F15"/>
    <mergeCell ref="A1:G1"/>
    <mergeCell ref="D26:E26"/>
    <mergeCell ref="F26:G26"/>
    <mergeCell ref="J1:L1"/>
    <mergeCell ref="B2:G3"/>
    <mergeCell ref="I2:J2"/>
    <mergeCell ref="I3:J3"/>
    <mergeCell ref="I4:J4"/>
    <mergeCell ref="I5:J5"/>
    <mergeCell ref="E6:G6"/>
    <mergeCell ref="A17:B17"/>
    <mergeCell ref="J17:L17"/>
    <mergeCell ref="I6:J6"/>
    <mergeCell ref="A9:I9"/>
    <mergeCell ref="J9:L9"/>
    <mergeCell ref="A11:B11"/>
  </mergeCells>
  <phoneticPr fontId="0" type="noConversion"/>
  <conditionalFormatting sqref="K20 K24 K13">
    <cfRule type="cellIs" priority="1" stopIfTrue="1" operator="equal">
      <formula>0</formula>
    </cfRule>
  </conditionalFormatting>
  <pageMargins left="0.78749999999999998" right="0.78749999999999998" top="0.78749999999999998" bottom="0.78749999999999998" header="9.8611111111111122E-2" footer="9.8611111111111122E-2"/>
  <pageSetup paperSize="9" fitToHeight="0" orientation="portrait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1885</TotalTime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</vt:i4>
      </vt:variant>
    </vt:vector>
  </HeadingPairs>
  <TitlesOfParts>
    <vt:vector size="13" baseType="lpstr">
      <vt:lpstr>B747_400</vt:lpstr>
      <vt:lpstr>B747_400F</vt:lpstr>
      <vt:lpstr>MD 11</vt:lpstr>
      <vt:lpstr>MD 11F</vt:lpstr>
      <vt:lpstr>Bagage</vt:lpstr>
      <vt:lpstr>Cargo</vt:lpstr>
      <vt:lpstr>Cruis</vt:lpstr>
      <vt:lpstr>Eshelon</vt:lpstr>
      <vt:lpstr>Nabor</vt:lpstr>
      <vt:lpstr>Pax</vt:lpstr>
      <vt:lpstr>Rast</vt:lpstr>
      <vt:lpstr>SkrWind</vt:lpstr>
      <vt:lpstr>Snigen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ПЕРМЯКОВ Сергей Владимирович</cp:lastModifiedBy>
  <cp:revision>192</cp:revision>
  <cp:lastPrinted>1601-01-01T00:06:31Z</cp:lastPrinted>
  <dcterms:created xsi:type="dcterms:W3CDTF">2005-03-28T17:01:40Z</dcterms:created>
  <dcterms:modified xsi:type="dcterms:W3CDTF">2010-05-04T05:06:59Z</dcterms:modified>
</cp:coreProperties>
</file>